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hwhWKB"/>
  <bookViews>
    <workbookView xWindow="120" yWindow="30" windowWidth="12120" windowHeight="8520" tabRatio="689" activeTab="8"/>
  </bookViews>
  <sheets>
    <sheet name="Daten" sheetId="1" r:id="rId1"/>
    <sheet name="ALG II" sheetId="2" r:id="rId2"/>
    <sheet name="Sozialgeld" sheetId="3" r:id="rId3"/>
    <sheet name="Einkommen" sheetId="4" r:id="rId4"/>
    <sheet name="Vermögen" sheetId="5" r:id="rId5"/>
    <sheet name="Kinderzuschlag" sheetId="6" r:id="rId6"/>
    <sheet name="Anspruch" sheetId="7" r:id="rId7"/>
    <sheet name="Konfig" sheetId="8" r:id="rId8"/>
    <sheet name="Hinweise" sheetId="9" r:id="rId9"/>
  </sheets>
  <definedNames>
    <definedName name="_xlnm.Print_Area" localSheetId="1">'ALG II'!$A$3:$M$135</definedName>
    <definedName name="_xlnm.Print_Area" localSheetId="6">'Anspruch'!$A$1:$M$74</definedName>
    <definedName name="_xlnm.Print_Area" localSheetId="3">'Einkommen'!$B$1:$K$41</definedName>
    <definedName name="_xlnm.Print_Area" localSheetId="5">'Kinderzuschlag'!$A$1:$M$79</definedName>
    <definedName name="_xlnm.Print_Area" localSheetId="7">'Konfig'!$B$1:$K$54</definedName>
    <definedName name="_xlnm.Print_Area" localSheetId="2">'Sozialgeld'!$A$2:$N$30</definedName>
    <definedName name="_xlnm.Print_Area" localSheetId="4">'Vermögen'!$B$1:$K$30</definedName>
    <definedName name="erwerbsfähig">'Daten'!$C$11</definedName>
    <definedName name="Name.Ang.1">'ALG II'!$C$14</definedName>
    <definedName name="Name.Ang.2">'ALG II'!$C$15</definedName>
    <definedName name="Name.Ast">'ALG II'!$C$10</definedName>
    <definedName name="Name.Partner">'ALG II'!$C$12</definedName>
    <definedName name="Z_00110B02_AF01_4B05_BAFC_9A9FA732ED95_.wvu.PrintArea" localSheetId="1" hidden="1">'ALG II'!$A$3:$M$135</definedName>
    <definedName name="Z_00110B02_AF01_4B05_BAFC_9A9FA732ED95_.wvu.PrintArea" localSheetId="6" hidden="1">'Anspruch'!$A$1:$M$74</definedName>
    <definedName name="Z_00110B02_AF01_4B05_BAFC_9A9FA732ED95_.wvu.PrintArea" localSheetId="3" hidden="1">'Einkommen'!$B$1:$K$41</definedName>
    <definedName name="Z_00110B02_AF01_4B05_BAFC_9A9FA732ED95_.wvu.PrintArea" localSheetId="5" hidden="1">'Kinderzuschlag'!$A$1:$M$79</definedName>
    <definedName name="Z_00110B02_AF01_4B05_BAFC_9A9FA732ED95_.wvu.PrintArea" localSheetId="7" hidden="1">'Konfig'!$B$1:$K$54</definedName>
    <definedName name="Z_00110B02_AF01_4B05_BAFC_9A9FA732ED95_.wvu.PrintArea" localSheetId="2" hidden="1">'Sozialgeld'!$A$2:$N$30</definedName>
    <definedName name="Z_00110B02_AF01_4B05_BAFC_9A9FA732ED95_.wvu.PrintArea" localSheetId="4" hidden="1">'Vermögen'!$B$1:$K$30</definedName>
    <definedName name="Z_224D4D53_9C23_4890_9683_01566D83035E_.wvu.Cols" localSheetId="2" hidden="1">'Sozialgeld'!$O:$T</definedName>
    <definedName name="Z_224D4D53_9C23_4890_9683_01566D83035E_.wvu.PrintArea" localSheetId="1" hidden="1">'ALG II'!$A$3:$M$135</definedName>
    <definedName name="Z_224D4D53_9C23_4890_9683_01566D83035E_.wvu.PrintArea" localSheetId="6" hidden="1">'Anspruch'!$A$1:$M$74</definedName>
    <definedName name="Z_224D4D53_9C23_4890_9683_01566D83035E_.wvu.PrintArea" localSheetId="3" hidden="1">'Einkommen'!$B$1:$K$41</definedName>
    <definedName name="Z_224D4D53_9C23_4890_9683_01566D83035E_.wvu.PrintArea" localSheetId="5" hidden="1">'Kinderzuschlag'!$A$1:$M$79</definedName>
    <definedName name="Z_224D4D53_9C23_4890_9683_01566D83035E_.wvu.PrintArea" localSheetId="7" hidden="1">'Konfig'!$B$1:$K$54</definedName>
    <definedName name="Z_224D4D53_9C23_4890_9683_01566D83035E_.wvu.PrintArea" localSheetId="2" hidden="1">'Sozialgeld'!$A$2:$N$30</definedName>
    <definedName name="Z_224D4D53_9C23_4890_9683_01566D83035E_.wvu.PrintArea" localSheetId="4" hidden="1">'Vermögen'!$B$1:$K$30</definedName>
    <definedName name="Z_224D4D53_9C23_4890_9683_01566D83035E_.wvu.Rows" localSheetId="6" hidden="1">'Anspruch'!$2:$3</definedName>
  </definedNames>
  <calcPr fullCalcOnLoad="1" iterate="1" iterateCount="100" iterateDelta="0.001"/>
</workbook>
</file>

<file path=xl/comments1.xml><?xml version="1.0" encoding="utf-8"?>
<comments xmlns="http://schemas.openxmlformats.org/spreadsheetml/2006/main">
  <authors>
    <author>Brinkmann</author>
  </authors>
  <commentList>
    <comment ref="C11" authorId="0">
      <text>
        <r>
          <rPr>
            <b/>
            <sz val="8"/>
            <rFont val="Tahoma"/>
            <family val="2"/>
          </rPr>
          <t>"Erwerbsfähig"</t>
        </r>
        <r>
          <rPr>
            <sz val="8"/>
            <rFont val="Tahoma"/>
            <family val="2"/>
          </rPr>
          <t xml:space="preserve"> ist, wer nicht wegen Krankheit oder Behinderung gegenwärtig oder auf absehbare Zeit (länger als 6 Monate) außerstande ist, unter den üblichen Bedingungen des allgemeinen Arbeitsmarktes mindestens drei Stunden täglich erwerbstätig zu sein. Bei der Bestimmung der Erwerbsfähigkeit ist es unerheblich, ob eine Erwerbstätigkeit vorübergehend unzumutbar ist (z.B. wegen der Erziehung eines Kindes unter drei Jahren).</t>
        </r>
        <r>
          <rPr>
            <sz val="8"/>
            <rFont val="Tahoma"/>
            <family val="0"/>
          </rPr>
          <t xml:space="preserve">
Berechtigte sind auch Bezieher von Rente wegen </t>
        </r>
        <r>
          <rPr>
            <u val="single"/>
            <sz val="8"/>
            <rFont val="Tahoma"/>
            <family val="2"/>
          </rPr>
          <t>teilweiser</t>
        </r>
        <r>
          <rPr>
            <sz val="8"/>
            <rFont val="Tahoma"/>
            <family val="0"/>
          </rPr>
          <t xml:space="preserve">
</t>
        </r>
        <r>
          <rPr>
            <u val="single"/>
            <sz val="8"/>
            <rFont val="Tahoma"/>
            <family val="2"/>
          </rPr>
          <t>Erwerbsminderung</t>
        </r>
        <r>
          <rPr>
            <sz val="8"/>
            <rFont val="Tahoma"/>
            <family val="0"/>
          </rPr>
          <t xml:space="preserve"> (§ 43 Abs. 1 Nr. 1 SGB VI). Für Bezieher einer Rente wegen </t>
        </r>
        <r>
          <rPr>
            <u val="single"/>
            <sz val="8"/>
            <rFont val="Tahoma"/>
            <family val="2"/>
          </rPr>
          <t>voller Erwerbsminderung auf Zeit</t>
        </r>
        <r>
          <rPr>
            <sz val="8"/>
            <rFont val="Tahoma"/>
            <family val="0"/>
          </rPr>
          <t>, kommen Leistungen nach dem 3. Kapitel des SGB XII in Betracht.</t>
        </r>
      </text>
    </comment>
    <comment ref="E10" authorId="0">
      <text>
        <r>
          <rPr>
            <sz val="8"/>
            <rFont val="Tahoma"/>
            <family val="2"/>
          </rPr>
          <t xml:space="preserve">Grundsätzlich ist hier ein mind. 15 Jahre und höchstens 17 Jahre altes Kind (erwerbsfähig oder nicht erwerbsfähig) einzutragen.
Ausnahme: wenn das erwerbsfähige minderj. Kind der Antragsteller ist, die im Haushalt lebenden </t>
        </r>
        <r>
          <rPr>
            <u val="single"/>
            <sz val="8"/>
            <rFont val="Tahoma"/>
            <family val="2"/>
          </rPr>
          <t>nicht</t>
        </r>
        <r>
          <rPr>
            <sz val="8"/>
            <rFont val="Tahoma"/>
            <family val="2"/>
          </rPr>
          <t xml:space="preserve"> erwerbsfähigen Eltern (oder Elternteil, auch dessen Partner).</t>
        </r>
        <r>
          <rPr>
            <sz val="8"/>
            <rFont val="Tahoma"/>
            <family val="0"/>
          </rPr>
          <t xml:space="preserve">
</t>
        </r>
      </text>
    </comment>
    <comment ref="C10" authorId="0">
      <text>
        <r>
          <rPr>
            <sz val="8"/>
            <rFont val="Tahoma"/>
            <family val="2"/>
          </rPr>
          <t xml:space="preserve">Ausgangspunkt der Bildung einer Bedarfsgemeinschaft ist </t>
        </r>
        <r>
          <rPr>
            <u val="single"/>
            <sz val="8"/>
            <rFont val="Tahoma"/>
            <family val="2"/>
          </rPr>
          <t>eine</t>
        </r>
        <r>
          <rPr>
            <sz val="8"/>
            <rFont val="Tahoma"/>
            <family val="2"/>
          </rPr>
          <t xml:space="preserve"> erwerbsfähige hilfebedürftige Person.</t>
        </r>
        <r>
          <rPr>
            <sz val="8"/>
            <rFont val="Tahoma"/>
            <family val="0"/>
          </rPr>
          <t xml:space="preserve">
</t>
        </r>
      </text>
    </comment>
    <comment ref="D10" authorId="0">
      <text>
        <r>
          <rPr>
            <sz val="8"/>
            <rFont val="Tahoma"/>
            <family val="2"/>
          </rPr>
          <t>Es spielt keine Rolle, ob die Person erwerbsfähig oder nicht erwerbsfähig ist.</t>
        </r>
        <r>
          <rPr>
            <sz val="8"/>
            <rFont val="Tahoma"/>
            <family val="0"/>
          </rPr>
          <t xml:space="preserve">
</t>
        </r>
      </text>
    </comment>
    <comment ref="F10" authorId="0">
      <text>
        <r>
          <rPr>
            <sz val="8"/>
            <rFont val="Tahoma"/>
            <family val="2"/>
          </rPr>
          <t xml:space="preserve">Grundsätzlich ist hier ein mind. 15 Jahre altes Kind (erwerbsfähig oder nicht erwerbsfähig) einzutragen.
Ausnahme: wenn das erwerbsfähige minderj. Kind der Antragsteller ist, die im Haushalt lebenden </t>
        </r>
        <r>
          <rPr>
            <u val="single"/>
            <sz val="8"/>
            <rFont val="Tahoma"/>
            <family val="2"/>
          </rPr>
          <t>nicht</t>
        </r>
        <r>
          <rPr>
            <sz val="8"/>
            <rFont val="Tahoma"/>
            <family val="2"/>
          </rPr>
          <t xml:space="preserve"> erwerbsfähigen Eltern (oder Elternteil, auch dessen Partner).</t>
        </r>
        <r>
          <rPr>
            <sz val="8"/>
            <rFont val="Tahoma"/>
            <family val="0"/>
          </rPr>
          <t xml:space="preserve">
</t>
        </r>
      </text>
    </comment>
  </commentList>
</comments>
</file>

<file path=xl/comments2.xml><?xml version="1.0" encoding="utf-8"?>
<comments xmlns="http://schemas.openxmlformats.org/spreadsheetml/2006/main">
  <authors>
    <author>XYZ</author>
    <author>Brinkmann</author>
    <author>BRINKM????N - THE ONE AND ONLY</author>
    <author>(:-XX)</author>
  </authors>
  <commentList>
    <comment ref="G17" authorId="0">
      <text>
        <r>
          <rPr>
            <sz val="8"/>
            <rFont val="Tahoma"/>
            <family val="2"/>
          </rPr>
          <t xml:space="preserve"> (sofern zutreffend, aktivieren)</t>
        </r>
      </text>
    </comment>
    <comment ref="F72"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 ref="F73"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 ref="B50" authorId="0">
      <text>
        <r>
          <rPr>
            <sz val="8"/>
            <rFont val="Tahoma"/>
            <family val="2"/>
          </rPr>
          <t>Die angemessene Grundfläche einer Wohnung oder eines Einfamilien-Hauses orientiert sich an den Kriterien der Förderwürdigkeit im sozialen Wohnungsbau entsprechend den Verwaltungsvorschriften der Länder zum Wohnungsbindungsgesetz. Die Wohnungsgröße ist danach in der Regel angemessen, wenn sie es ermöglicht, dass auf jedes Familienmitglied ein Wohnraum ausreichender Größe entfällt. Darüber hinaus sind auch besondere persönliche und berufliche Bedürfnisse des Wohnberechtigten und seiner Angehörigen sowie der nach der Lebenserfahrung in absehbarer Zeit zu erwartende zusätzliche Raumbedarf zu berücksichtigen. Die Werte sind Durchschnittswerte, die das Ministerium mit Pressemitteilung vom 28.07.2004 bekanntgegeben hat.</t>
        </r>
      </text>
    </comment>
    <comment ref="B52" authorId="0">
      <text>
        <r>
          <rPr>
            <sz val="8"/>
            <rFont val="Tahoma"/>
            <family val="0"/>
          </rPr>
          <t xml:space="preserve">Hier muss die gesamte </t>
        </r>
        <r>
          <rPr>
            <b/>
            <sz val="8"/>
            <rFont val="Tahoma"/>
            <family val="2"/>
          </rPr>
          <t>Miete</t>
        </r>
        <r>
          <rPr>
            <sz val="8"/>
            <rFont val="Tahoma"/>
            <family val="0"/>
          </rPr>
          <t xml:space="preserve"> für die Haushalts- oder Wohngemeinschaft mit allen Nebenkosten (außer Heizung) eingetragen werden.</t>
        </r>
        <r>
          <rPr>
            <b/>
            <sz val="8"/>
            <rFont val="Tahoma"/>
            <family val="2"/>
          </rPr>
          <t xml:space="preserve"> Wasser</t>
        </r>
        <r>
          <rPr>
            <sz val="8"/>
            <rFont val="Tahoma"/>
            <family val="0"/>
          </rPr>
          <t xml:space="preserve">- und </t>
        </r>
        <r>
          <rPr>
            <b/>
            <sz val="8"/>
            <rFont val="Tahoma"/>
            <family val="2"/>
          </rPr>
          <t>Stromkosten</t>
        </r>
        <r>
          <rPr>
            <sz val="8"/>
            <rFont val="Tahoma"/>
            <family val="0"/>
          </rPr>
          <t xml:space="preserve"> zählen </t>
        </r>
        <r>
          <rPr>
            <u val="single"/>
            <sz val="8"/>
            <rFont val="Tahoma"/>
            <family val="2"/>
          </rPr>
          <t>nicht</t>
        </r>
        <r>
          <rPr>
            <sz val="8"/>
            <rFont val="Tahoma"/>
            <family val="0"/>
          </rPr>
          <t xml:space="preserve"> zu den Mietnebenkosten, da diese Kosten bereits Bestandteil der Regelleistung sind. </t>
        </r>
        <r>
          <rPr>
            <b/>
            <sz val="8"/>
            <rFont val="Tahoma"/>
            <family val="2"/>
          </rPr>
          <t>Mietanteile</t>
        </r>
        <r>
          <rPr>
            <sz val="8"/>
            <rFont val="Tahoma"/>
            <family val="0"/>
          </rPr>
          <t xml:space="preserve"> von Personen in der Haushaltsgemeinschaft, die jedoch nicht zur Bedarfsgemeinschaft zählen, werden in der Berechnung berücksichtigt.
Bewohnen Sie ein </t>
        </r>
        <r>
          <rPr>
            <b/>
            <sz val="8"/>
            <rFont val="Tahoma"/>
            <family val="2"/>
          </rPr>
          <t>Eigenheim oder eine Eigentumswohnung</t>
        </r>
        <r>
          <rPr>
            <sz val="8"/>
            <rFont val="Tahoma"/>
            <family val="0"/>
          </rPr>
          <t xml:space="preserve"> gehören zu den Kosten der Unterkunft die mit diesen verbundenen Belastungen (z.B. Schuldzinsen für Hypotheken, Grundsteuer und sonstige öffentliche Abgaben, Wohngebäudeversicherung, Erbbauzins, Nebenkosten wie bei Mietwohnungen (z.B. Müllgebühr, Schornsteinfegergebühr, Straßenreinigung). Nicht berücksichtigt werden können die Tilgungsraten. Sie dienen der Vermögensbildung, welche nicht mit dem Zweck einer Fürsorgeleistung vereinbar ist.
</t>
        </r>
      </text>
    </comment>
    <comment ref="C54" authorId="0">
      <text>
        <r>
          <rPr>
            <sz val="8"/>
            <rFont val="Tahoma"/>
            <family val="0"/>
          </rPr>
          <t xml:space="preserve">Der Hilfeempfänger ist verpflichtet, die Kosten der Unterkunft zu senken soweit diese unangemessen hoch sind. Hierzu kann auch ein Umzug verlangt werden. Dem Hilfeempfänger wird hierbei eine angemessene Frist, die in der Regel sechs Monate beträgt, gegeben. Nach dieser Zeit ist der Träger nur verpflichtet, die angemessenen Kosten der Unterkunft zu übernehmen (§ 12 I).
</t>
        </r>
      </text>
    </comment>
    <comment ref="B4" authorId="1">
      <text>
        <r>
          <rPr>
            <sz val="8"/>
            <rFont val="Tahoma"/>
            <family val="2"/>
          </rPr>
          <t xml:space="preserve">Die Regelleistung zur Sicherung des Lebensunterhalts umfasst insbesondere Ernährung, Kleidung, Körperpflege, Hausrat, Bedarfe des täglichen Lebens sowie in vertretbarem Umfang auch Beziehungen zur Umwelt und eine Teilnahme am kulturellen Leben. Nicht umfasst sind die in § 5 Abs. 2 Satz 2 genannten Leistungen nach SGB XII. </t>
        </r>
        <r>
          <rPr>
            <sz val="8"/>
            <rFont val="Tahoma"/>
            <family val="0"/>
          </rPr>
          <t xml:space="preserve">
Die Regelleistungshöhe setzt sich aus der Summe der regelsatzrelevanten Verbrauchsausgaben zusammen. Diese werden vom Statistischen Bundesamt ermittelt. Sie  finden ihren Niederschlag in der Verordnung zur Durchführung des § 28 SGB XII (Regelsatzverordnung - RSV). Im Einzelnen umfasst die Regelleistung in etwa folgende Bedarfe: 
Nahrung, Getränke, Tabakwaren): 38%; Bekleidung, Schuhe: 10%; Wohnung (ohne Mietkosten), Wasser, Strom: 8%; Möbel, Apparate, Haushaltsgeräte: 8%; Gesundheitspflege: 4%; Verkehr: 6%; Telefon, Fax: 6%; Freizeit, Kultur: 11 %; Beherbergungs- und Gaststättenleistungen: 3%; sonstige Waren und Dienstleistungen: 6%. </t>
        </r>
      </text>
    </comment>
    <comment ref="D29" authorId="1">
      <text>
        <r>
          <rPr>
            <sz val="8"/>
            <rFont val="Tahoma"/>
            <family val="2"/>
          </rPr>
          <t>Nach der gesetzlichen Definition (§ 2 Abs.1 SGB IX) gelten Menschen als behindert, wenn ihre körperliche Funktion, geistige Fähigkeit
oder seelische Gesundheit mit hoher Wahrscheinlichkeit länger als 6 Monate von dem für das Lebensalter typischen Zustand abweicht
und ihre Teilnahme am Leben der Gesellschaft beeinträchtigt ist.</t>
        </r>
        <r>
          <rPr>
            <sz val="8"/>
            <rFont val="Tahoma"/>
            <family val="0"/>
          </rPr>
          <t xml:space="preserve">
</t>
        </r>
      </text>
    </comment>
    <comment ref="E33" authorId="1">
      <text>
        <r>
          <rPr>
            <sz val="8"/>
            <rFont val="Tahoma"/>
            <family val="2"/>
          </rPr>
          <t>Für den Nachweis des Mehrbedarfs für medizinisch bedingte aufwändige Ernährung ist eine ärztliche Bescheinigung erforderlich.
Dafür hält der Träger einen Vordruck bereit.</t>
        </r>
        <r>
          <rPr>
            <sz val="8"/>
            <rFont val="Tahoma"/>
            <family val="0"/>
          </rPr>
          <t xml:space="preserve">
</t>
        </r>
      </text>
    </comment>
    <comment ref="D23" authorId="1">
      <text>
        <r>
          <rPr>
            <sz val="8"/>
            <rFont val="Tahoma"/>
            <family val="2"/>
          </rPr>
          <t>Alleinerziehend ist, wer sich tatsächlich allein um die Erziehung und Pflege seines minderjährigen Kindes, das in seinem Haushalt lebt, sorgt. Alleinerziehend ist auch ein Ehepartner, der sich überwiegend um die Erziehung und Pflege seines Kindes sorgt, weil der andere Ehepartner nicht nur unerhebliche Zeit räumlich von der Familie getrennt lebt, z.B. bei der Verbüßung einer Freiheitsstrafe. Als unerheblich gilt ein Zeitraum von weniger als 2 Wochen. Wenn sich auch andere Personen (Eltern, Großeltern, Verwandte) für gleiche oder überwiegende Teile des Tages um die Erziehung und Pflege des Kindes sorgen sind Sie nicht alleinerziehend.
Mit dem Mehrbedarf soll dem Umstand Rechnung getragen werden, dass keine weitere Person in der Bedarfsgemeinschaft lebt, die sich in wirtschaftlicher Hinsicht an der Pflege und Erziehung des Kindes beteiligt.</t>
        </r>
      </text>
    </comment>
    <comment ref="G78" authorId="1">
      <text>
        <r>
          <rPr>
            <sz val="8"/>
            <rFont val="Tahoma"/>
            <family val="2"/>
          </rPr>
          <t>Bei Bezug von Arbeitslosengeld II innerhalb von zwei Jahren nach dem Ende des Bezugs von Arbeitslosengeld
erhält der erwerbsfähige Hilfebedürftige in diesem Zeitraum einen Zuschlag, der sich nach Ablauf des ersten Jahres auf die Hälfte vermindert. Der Zuschlag beträgt zwei Drittel der Differenz zwischen dem zuletzt bezogenen Arbeitslosen- und Wohngeld und dem Arbeitslosengeld II. Er ist begrenzt auf höchstens 160 Euro für Alleinstehende und 320 Euro für Partner zuzüglich höchstens 60 Euro für jedes mit dem Zuschlagsberechtigten in der Bedarfsgemeinschaft zusammen lebende minderjährige Kind.</t>
        </r>
        <r>
          <rPr>
            <sz val="8"/>
            <rFont val="Tahoma"/>
            <family val="0"/>
          </rPr>
          <t xml:space="preserve">
</t>
        </r>
      </text>
    </comment>
    <comment ref="B45" authorId="1">
      <text>
        <r>
          <rPr>
            <sz val="8"/>
            <rFont val="Tahoma"/>
            <family val="2"/>
          </rPr>
          <t>Anzahl wird automatisch errechnet aus den Angaben in diesem Arbeitsblatt sowie im Arbeitsblatt "Sozialgeld"</t>
        </r>
        <r>
          <rPr>
            <sz val="8"/>
            <rFont val="Tahoma"/>
            <family val="0"/>
          </rPr>
          <t xml:space="preserve">
</t>
        </r>
      </text>
    </comment>
    <comment ref="F96" authorId="1">
      <text>
        <r>
          <rPr>
            <sz val="8"/>
            <rFont val="Tahoma"/>
            <family val="2"/>
          </rPr>
          <t>Anzahl wird automatisch errechnet aus den Angaben in diesem Arbeitsblatt sowie im Arbeitsblatt "Sozialgeld"</t>
        </r>
        <r>
          <rPr>
            <sz val="8"/>
            <rFont val="Tahoma"/>
            <family val="0"/>
          </rPr>
          <t xml:space="preserve">
</t>
        </r>
      </text>
    </comment>
    <comment ref="D26" authorId="1">
      <text>
        <r>
          <rPr>
            <sz val="8"/>
            <rFont val="Tahoma"/>
            <family val="2"/>
          </rPr>
          <t>Anzahl wird automatisch errechnet aus den Angaben in diesem Arbeitsblatt sowie im Arbeitsblatt "Sozialgeld"</t>
        </r>
        <r>
          <rPr>
            <sz val="8"/>
            <rFont val="Tahoma"/>
            <family val="0"/>
          </rPr>
          <t xml:space="preserve">
</t>
        </r>
      </text>
    </comment>
    <comment ref="F74"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 ref="E108" authorId="1">
      <text>
        <r>
          <rPr>
            <sz val="8"/>
            <rFont val="Tahoma"/>
            <family val="2"/>
          </rPr>
          <t>z.Zt. 400,- EUR</t>
        </r>
        <r>
          <rPr>
            <sz val="8"/>
            <rFont val="Tahoma"/>
            <family val="0"/>
          </rPr>
          <t xml:space="preserve">
</t>
        </r>
      </text>
    </comment>
    <comment ref="E118" authorId="1">
      <text>
        <r>
          <rPr>
            <sz val="8"/>
            <rFont val="Tahoma"/>
            <family val="2"/>
          </rPr>
          <t>z.Zt. 400,- EUR</t>
        </r>
        <r>
          <rPr>
            <sz val="8"/>
            <rFont val="Tahoma"/>
            <family val="0"/>
          </rPr>
          <t xml:space="preserve">
</t>
        </r>
      </text>
    </comment>
    <comment ref="E128" authorId="1">
      <text>
        <r>
          <rPr>
            <sz val="8"/>
            <rFont val="Tahoma"/>
            <family val="2"/>
          </rPr>
          <t>z.Zt. 400,- EUR</t>
        </r>
        <r>
          <rPr>
            <sz val="8"/>
            <rFont val="Tahoma"/>
            <family val="0"/>
          </rPr>
          <t xml:space="preserve">
</t>
        </r>
      </text>
    </comment>
    <comment ref="G108" authorId="1">
      <text>
        <r>
          <rPr>
            <sz val="8"/>
            <rFont val="Tahoma"/>
            <family val="2"/>
          </rPr>
          <t>z.Zt. 19,50%</t>
        </r>
        <r>
          <rPr>
            <sz val="8"/>
            <rFont val="Tahoma"/>
            <family val="0"/>
          </rPr>
          <t xml:space="preserve">
</t>
        </r>
      </text>
    </comment>
    <comment ref="G118" authorId="1">
      <text>
        <r>
          <rPr>
            <sz val="8"/>
            <rFont val="Tahoma"/>
            <family val="2"/>
          </rPr>
          <t>z.Zt. 14,4%</t>
        </r>
        <r>
          <rPr>
            <sz val="8"/>
            <rFont val="Tahoma"/>
            <family val="0"/>
          </rPr>
          <t xml:space="preserve">
</t>
        </r>
      </text>
    </comment>
    <comment ref="G128" authorId="1">
      <text>
        <r>
          <rPr>
            <sz val="8"/>
            <rFont val="Tahoma"/>
            <family val="2"/>
          </rPr>
          <t>z.Zt. 1,7%</t>
        </r>
        <r>
          <rPr>
            <sz val="8"/>
            <rFont val="Tahoma"/>
            <family val="0"/>
          </rPr>
          <t xml:space="preserve">
</t>
        </r>
      </text>
    </comment>
    <comment ref="D19" authorId="1">
      <text>
        <r>
          <rPr>
            <sz val="8"/>
            <rFont val="Tahoma"/>
            <family val="2"/>
          </rPr>
          <t>Ein Mehrbedarf für Schwangere wird gezahlt ab Beginn des 1. Tages der 13. Schwangerschaftswoche und endet mit dem Tag der Entbindung. § 21 Abs. 2; § 41 I Satz 3 SGB II.</t>
        </r>
        <r>
          <rPr>
            <sz val="8"/>
            <rFont val="Tahoma"/>
            <family val="0"/>
          </rPr>
          <t xml:space="preserve">
</t>
        </r>
      </text>
    </comment>
    <comment ref="H50" authorId="0">
      <text>
        <r>
          <rPr>
            <sz val="8"/>
            <rFont val="Tahoma"/>
            <family val="2"/>
          </rPr>
          <t xml:space="preserve">Zu welcher Mietstufe Ihr Wohnort gehört, erfahren Sie bei der für Sie zuständigen Wohngeldstelle (meistens Gemeinde-/Stadtverwaltung) oder aus der im Internet erhältlichen Liste der Mietstufen der Gemeinden.
Adresse: 
</t>
        </r>
        <r>
          <rPr>
            <sz val="8"/>
            <rFont val="Times New Roman"/>
            <family val="1"/>
          </rPr>
          <t>http://www.bmvbw.de/Anlage6952/Liste-der-Mietstufen-der-Gemeinden-ab-1.1.2002-fuer-alte-und-neue-Laender.pdf</t>
        </r>
        <r>
          <rPr>
            <sz val="8"/>
            <rFont val="Tahoma"/>
            <family val="0"/>
          </rPr>
          <t xml:space="preserve">
</t>
        </r>
      </text>
    </comment>
    <comment ref="C53" authorId="2">
      <text>
        <r>
          <rPr>
            <sz val="8"/>
            <rFont val="Tahoma"/>
            <family val="2"/>
          </rPr>
          <t>Hinsichtlich der näheren Regelungen, welche Aufwendungen für Unterkunft und Heizung angemessen sind und unter welchen Voraussetzungen die Kosten für Unterkunt und Heizung pauschaliert werden können, ermächtigt das SGB II (§ 27 Nr. 1 SGB II) das Bundesministerium für Wirtschaft und Arbeit zum Erlass einer Rechtsverordnung. Derzeit beabsichtigt das Ministerium aber nicht, eine solche Verordnung zu erlassen, sondern überlässt die Beurteilung der Angemessenheit den Kommunen, die zu dieser Frage auch schon bei ihrer Zuständigkeit für die Sozialhilfe Erfahrungen gesammelt haben.
Die Angemessenheit der Kosten der Unterkunft richtet sich nach den individuellen Verhältnissen des Einzelfalles (Lebensumstände), insbesondere nach der Zahl der Familienangehörigen, nach ihrem Alter, Geschlecht und ihrem Gesundheitszustand. Neben den individuellen Verhältnissen des Arbeitssuchenden und seiner Angehörigen sind darüber hinaus die Zahl der vorhandenen Räume, das örtliche Mietniveau und die Möglichkeiten des örtlichen Wohnungsmarktes zu berücksichtigen. Der angemessene Preis je qm bestimmt sich nach demjenigen vergleichbarer Wohnungen im unteren Bereich am Wohnort und lässt sich insbesondere örtlichen Mietspiegeln entnehmen.
Existiert kein Mietspiegel, orientiert sich die Angemessenheit in der Regel an den Mietstufen im Wohngeldgesetz. Im Gesetz sind 6 Mietstufen festgelegt. Die Zugehörigkeit einer Gemeinde richtet sich nach dem örtlichen Mietenniveau.
Zu welcher Mietstufe Ihr Wohnort gehört, erfahren Sie bei der für Sie zuständigen Wohngeldstelle (meistens Gemeinde-/Stadtverwaltung) oder Sie laden sich eine Liste der Mietstufen der Gemeinden aus dem Internet herunter. Adresse: 
http://www.bmvbw.de/Anlage6952/Liste-der-Mietstufen-der-Gemeinden-ab-1.1.2002-fuer-alte-und-neue-Laender.pdf</t>
        </r>
        <r>
          <rPr>
            <sz val="8"/>
            <rFont val="Tahoma"/>
            <family val="0"/>
          </rPr>
          <t xml:space="preserve">
 </t>
        </r>
      </text>
    </comment>
    <comment ref="F60" authorId="0">
      <text>
        <r>
          <rPr>
            <sz val="8"/>
            <rFont val="Tahoma"/>
            <family val="2"/>
          </rPr>
          <t>Das Bundesministerium kann durch Verordnung nach § 27 Näheres zur Angemessenheit von Unterkunft und Heizung regeln.
Hier wurde ein Wert von 1,00 Euro entsprechend der Rechtsprechung des OVG Lüneburg in Sozialhilfesachen genommen. Je nach Wohnort ist auch ein anderer Wert möglich (Einstellung im Arbeitsblatt "Konfig").</t>
        </r>
        <r>
          <rPr>
            <sz val="8"/>
            <rFont val="Tahoma"/>
            <family val="0"/>
          </rPr>
          <t xml:space="preserve">
</t>
        </r>
      </text>
    </comment>
    <comment ref="C61" authorId="0">
      <text>
        <r>
          <rPr>
            <sz val="8"/>
            <rFont val="Tahoma"/>
            <family val="0"/>
          </rPr>
          <t xml:space="preserve">Der Hilfeempfänger ist verpflichtet, die Kosten der Unterkunft zu senken soweit diese unangemessen hoch sind. Hierzu kann auch ein Umzug verlangt werden. Dem Hilfeempfänger wird hierbei eine angemessene Frist, die in der Regel sechs Monate beträgt, gegeben. Nach dieser Zeit ist der Träger nur verpflichtet, die angemessenen Kosten der Unterkunft zu übernehmen (§ 12 I).
</t>
        </r>
      </text>
    </comment>
    <comment ref="C46" authorId="1">
      <text>
        <r>
          <rPr>
            <sz val="8"/>
            <rFont val="Tahoma"/>
            <family val="2"/>
          </rPr>
          <t>Der Unterkunftsbedarf dieser Personen kann nicht in die Berechnung der Leistungen für die Bedarfsgemeinschaft einfließen. Für außerhalb der Bedarfsgemeinschaft stehende Personen muss daher deren Anspruch separat berechnet werden, wenn sie auch leistungsberechtigt nach SGB II sind. Es ist auch denkbar, dass sich der Anspruch nach anderen Rechtsvorschriften richtet (z.B. SGB XII).</t>
        </r>
        <r>
          <rPr>
            <sz val="8"/>
            <rFont val="Tahoma"/>
            <family val="0"/>
          </rPr>
          <t xml:space="preserve">
</t>
        </r>
      </text>
    </comment>
    <comment ref="C56" authorId="1">
      <text>
        <r>
          <rPr>
            <sz val="8"/>
            <rFont val="Tahoma"/>
            <family val="2"/>
          </rPr>
          <t>Der Unterkunftsbedarf dieser Personen kann nicht in die Berechnung der Leistungen für die Bedarfsgemeinschaft einfließen. Für außerhalb der Bedarfsgemeinschaft stehende Personen muss daher deren Anspruch separat berechnet werden, wenn sie auch leistungsberechtigt nach SGB II sind. Es ist auch denkbar, dass sich der Anspruch nach anderen Rechtsvorschriften richtet (z.B. SGB XII).</t>
        </r>
        <r>
          <rPr>
            <sz val="8"/>
            <rFont val="Tahoma"/>
            <family val="0"/>
          </rPr>
          <t xml:space="preserve">
</t>
        </r>
      </text>
    </comment>
    <comment ref="C63" authorId="1">
      <text>
        <r>
          <rPr>
            <sz val="8"/>
            <rFont val="Tahoma"/>
            <family val="2"/>
          </rPr>
          <t>Der Unterkunftsbedarf dieser Personen kann nicht in die Berechnung der Leistungen für die Bedarfsgemeinschaft einfließen. Für außerhalb der Bedarfsgemeinschaft stehende Personen muss daher deren Anspruch separat berechnet werden, wenn sie auch leistungsberechtigt nach SGB II sind. Es ist auch denkbar, dass sich der Anspruch nach anderen Rechtsvorschriften richtet (z.B. SGB XII).</t>
        </r>
        <r>
          <rPr>
            <sz val="8"/>
            <rFont val="Tahoma"/>
            <family val="0"/>
          </rPr>
          <t xml:space="preserve">
</t>
        </r>
      </text>
    </comment>
    <comment ref="B59" authorId="0">
      <text>
        <r>
          <rPr>
            <sz val="8"/>
            <rFont val="Tahoma"/>
            <family val="0"/>
          </rPr>
          <t xml:space="preserve">Hier muss der gesamte monatliche </t>
        </r>
        <r>
          <rPr>
            <b/>
            <sz val="8"/>
            <rFont val="Tahoma"/>
            <family val="2"/>
          </rPr>
          <t>Heizkostenbedarf</t>
        </r>
        <r>
          <rPr>
            <sz val="8"/>
            <rFont val="Tahoma"/>
            <family val="0"/>
          </rPr>
          <t xml:space="preserve"> (z.B. für Gas oder Öl) für die Haushalts- oder Wohngemeinschaft eingetragen werden. </t>
        </r>
        <r>
          <rPr>
            <b/>
            <sz val="8"/>
            <rFont val="Tahoma"/>
            <family val="2"/>
          </rPr>
          <t>Stromkosten</t>
        </r>
        <r>
          <rPr>
            <sz val="8"/>
            <rFont val="Tahoma"/>
            <family val="0"/>
          </rPr>
          <t xml:space="preserve"> zählen </t>
        </r>
        <r>
          <rPr>
            <u val="single"/>
            <sz val="8"/>
            <rFont val="Tahoma"/>
            <family val="2"/>
          </rPr>
          <t>nicht</t>
        </r>
        <r>
          <rPr>
            <sz val="8"/>
            <rFont val="Tahoma"/>
            <family val="0"/>
          </rPr>
          <t xml:space="preserve"> zu den Mietnebenkosten. </t>
        </r>
        <r>
          <rPr>
            <b/>
            <sz val="8"/>
            <rFont val="Tahoma"/>
            <family val="2"/>
          </rPr>
          <t>Heizkostenanteile</t>
        </r>
        <r>
          <rPr>
            <sz val="8"/>
            <rFont val="Tahoma"/>
            <family val="0"/>
          </rPr>
          <t xml:space="preserve"> von Personen in der Haushaltsgemeinschaft, die jedoch nicht zur Bedarfsgemeinschaft zählen, werden in der Berechnung berücksichtigt.
</t>
        </r>
      </text>
    </comment>
    <comment ref="G65" authorId="1">
      <text>
        <r>
          <rPr>
            <sz val="8"/>
            <rFont val="Tahoma"/>
            <family val="2"/>
          </rPr>
          <t>Es können nur die "reinen" Heizkosten, nicht dagegen die Anteile für die Warmwasserbereitung, berücksichtigt werden, weil diese bereits mit den Regelleistungen abgegolten sind. Sofern die Warmwasserbereitung über die Heizung sichergestellt wird, erfolgt ein pauschaler Abzug (i.d.R. 18%), sofern aber das warme Wasser über einen Durchlauferhitzer oder über Elektroboiler läuft, erfolgt kein Abzug. Der Prozentsatz kann im Arbeitsblatt "Konfig" geändert werden.</t>
        </r>
        <r>
          <rPr>
            <sz val="8"/>
            <rFont val="Tahoma"/>
            <family val="0"/>
          </rPr>
          <t xml:space="preserve">
</t>
        </r>
      </text>
    </comment>
    <comment ref="E10" authorId="3">
      <text>
        <r>
          <rPr>
            <sz val="8"/>
            <rFont val="Tahoma"/>
            <family val="2"/>
          </rPr>
          <t>Die monatliche Regelleistung beträgt für Personen, die alleinstehend 
oder alleinerziehend sind oder deren Partner minderjährig ist, in den alten Bundesländern einschließlich Berlin (Ost) 345 Euro, in den neuen Bundesländern 331 Euro. Haben zwei Angehörige der Bedarfsgemeinschaft das 18. Lebensjahr 
vollendet, beträgt die Regelleistung jeweils 90 vom Hundert der Regelleistung. Die Regelleistung für sonstige erwerbsfähige Angehörige der Bedarfsgemeinschaft beträgt 80 vom Hundert der Regelleistung.  Lebt ein volljähriges erwerbsfähiges Kind ohne Partner im Haushalt der Eltern, bildet es immer eine eigene Bedarfsgemeinschaft. In diesem Fall ist es allein stehend und erhält 100% der Regelleistung.</t>
        </r>
        <r>
          <rPr>
            <sz val="8"/>
            <rFont val="Tahoma"/>
            <family val="0"/>
          </rPr>
          <t xml:space="preserve">
</t>
        </r>
      </text>
    </comment>
    <comment ref="G84" authorId="1">
      <text>
        <r>
          <rPr>
            <sz val="8"/>
            <rFont val="Tahoma"/>
            <family val="2"/>
          </rPr>
          <t>Maßgebend für die Berechnung des Zuschlags ist der Bedarf der gesamten Bedarfsgemeinschaft zu Beginn des
Leistungsanspruchs. Spätere Änderungen, wie z.B. eine Erhöhung des Bedarfs durch die Geburt eines Kindes oder eine Verringerung des Bedarfes durch Einkommenserzielung führen nicht zu einer Neuberechnung des Zuschlages.</t>
        </r>
        <r>
          <rPr>
            <sz val="8"/>
            <rFont val="Tahoma"/>
            <family val="0"/>
          </rPr>
          <t xml:space="preserve">
</t>
        </r>
      </text>
    </comment>
    <comment ref="G80" authorId="1">
      <text>
        <r>
          <rPr>
            <sz val="8"/>
            <rFont val="Tahoma"/>
            <family val="2"/>
          </rPr>
          <t xml:space="preserve">Sowohl die Zwei-Jahres-Frist gem. § 24 Abs. 1 Satz 1 als auch die Jahresfrist gemäß § 24 Abs. 1 Satz 2 beginnen mit dem ersten Tag nach dem letzten Tag eines </t>
        </r>
        <r>
          <rPr>
            <u val="single"/>
            <sz val="8"/>
            <rFont val="Tahoma"/>
            <family val="2"/>
          </rPr>
          <t>rechtmäßigen</t>
        </r>
        <r>
          <rPr>
            <sz val="8"/>
            <rFont val="Tahoma"/>
            <family val="2"/>
          </rPr>
          <t xml:space="preserve"> Arbeitslosengeldbezuges. Dabei spielt es keine Rolle, ob der Alg-Anspruch verbraucht oder nach § 147 Abs. 1 Nr. 2 SGB III erloschen ist.
</t>
        </r>
        <r>
          <rPr>
            <sz val="8"/>
            <rFont val="Tahoma"/>
            <family val="0"/>
          </rPr>
          <t xml:space="preserve">
Liegt der letzte Tag des Alg-Bezuges vor dem 1.1.2005 ist der monatliche Betrag nach der Formel "Wöchentlicher Leistungssatz x 13 / 3" zu ermitteln. Ab 1.1.2005 gilt folgende Formel: "Täglicher Leistungssatz x 30".</t>
        </r>
      </text>
    </comment>
  </commentList>
</comments>
</file>

<file path=xl/comments3.xml><?xml version="1.0" encoding="utf-8"?>
<comments xmlns="http://schemas.openxmlformats.org/spreadsheetml/2006/main">
  <authors>
    <author>XYZ</author>
  </authors>
  <commentList>
    <comment ref="D10" authorId="0">
      <text>
        <r>
          <rPr>
            <sz val="8"/>
            <rFont val="Tahoma"/>
            <family val="2"/>
          </rPr>
          <t xml:space="preserve"> (sofern zutreffend, aktivieren)</t>
        </r>
      </text>
    </comment>
    <comment ref="D14" authorId="0">
      <text>
        <r>
          <rPr>
            <sz val="8"/>
            <rFont val="Tahoma"/>
            <family val="2"/>
          </rPr>
          <t xml:space="preserve"> (sofern zutreffend, aktivieren)</t>
        </r>
      </text>
    </comment>
    <comment ref="D26"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 ref="D27"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 ref="D28" authorId="0">
      <text>
        <r>
          <rPr>
            <sz val="8"/>
            <rFont val="Tahoma"/>
            <family val="2"/>
          </rPr>
          <t>Gem. § 23 III S. 4 kann die Leistung als Sachleistung oder Geldleistung, auch in Form von Pauschalbeträgen, erbracht werden. Näheres ergibt sich aus einer noch zu erlassenden Verordnung nach § 27 Nr. 3.</t>
        </r>
        <r>
          <rPr>
            <sz val="8"/>
            <rFont val="Tahoma"/>
            <family val="0"/>
          </rPr>
          <t xml:space="preserve">
</t>
        </r>
      </text>
    </comment>
  </commentList>
</comments>
</file>

<file path=xl/comments4.xml><?xml version="1.0" encoding="utf-8"?>
<comments xmlns="http://schemas.openxmlformats.org/spreadsheetml/2006/main">
  <authors>
    <author>Prof. Brinkmann</author>
    <author>XYZ</author>
    <author>Brinkmann</author>
  </authors>
  <commentList>
    <comment ref="B8" authorId="0">
      <text>
        <r>
          <rPr>
            <sz val="8"/>
            <rFont val="Tahoma"/>
            <family val="2"/>
          </rPr>
          <t xml:space="preserve">Kindergeld und Kindergeld mindernde bzw. ausschließende Leistungen
sind hier einzutragen. Zur Zeit gültige Kindergeldsätze: 1. bis 3. Kind: je 154 Euro, ab 4. Kind: 179 Euro.
Kindergeld für </t>
        </r>
        <r>
          <rPr>
            <u val="single"/>
            <sz val="8"/>
            <rFont val="Tahoma"/>
            <family val="2"/>
          </rPr>
          <t>minderjährige</t>
        </r>
        <r>
          <rPr>
            <sz val="8"/>
            <rFont val="Tahoma"/>
            <family val="2"/>
          </rPr>
          <t xml:space="preserve"> Kinder ist </t>
        </r>
        <r>
          <rPr>
            <b/>
            <sz val="8"/>
            <rFont val="Tahoma"/>
            <family val="2"/>
          </rPr>
          <t>beim Kind</t>
        </r>
        <r>
          <rPr>
            <sz val="8"/>
            <rFont val="Tahoma"/>
            <family val="2"/>
          </rPr>
          <t xml:space="preserve"> als Einkommen zuzuordnen, soweit es für die Sicherung des Lebensunterhaltes benötigt wird. Ein eventuell den Bedarf des Kindes übersteigender Betrag (z. B. durch das Zusammentreffen mit Unterhaltsleistungen und/oder weiterem eigenen Einkommen) ist dem Kindergeldberechtigten als Einkommen zuzuordnen. Diese Prüfung wird im Arbeitsblatt "Anspruch" automatisch vorgenommen, ggf. werden dort überschüssige Kindergeldanteile den Eltern zugerechnet.
Bei </t>
        </r>
        <r>
          <rPr>
            <u val="single"/>
            <sz val="8"/>
            <rFont val="Tahoma"/>
            <family val="2"/>
          </rPr>
          <t>volljährigen</t>
        </r>
        <r>
          <rPr>
            <sz val="8"/>
            <rFont val="Tahoma"/>
            <family val="2"/>
          </rPr>
          <t xml:space="preserve"> Kindern ist abzuklären, ob eine dritte Person Kindergeld für ihn bezieht. Leitet der Kindergeldbezieher dieses Kindergeld nicht an das Kind weiter, ist dieses aufzufordern, gemäß § 74
EStG die Auszahlung des Kindergeldes an sich selbst zu beantragen. Ab dem Zeitpunkt der zu erwartenden Zahlungsumstellung ist das Kindergeld als Einkommen des volljährigen Kindes zu berücksichtigen.
</t>
        </r>
        <r>
          <rPr>
            <sz val="8"/>
            <rFont val="Tahoma"/>
            <family val="0"/>
          </rPr>
          <t xml:space="preserve">Nur wenn ein kindergeldberechtigter Elternteil das Kindergeld für ein Kind außerhalb der Bedarfsgemeinschaft bekommt und dieses nicht an das Kind weiterleitet, kann es als Einkommen </t>
        </r>
        <r>
          <rPr>
            <b/>
            <sz val="8"/>
            <rFont val="Tahoma"/>
            <family val="2"/>
          </rPr>
          <t>bei den Eltern</t>
        </r>
        <r>
          <rPr>
            <sz val="8"/>
            <rFont val="Tahoma"/>
            <family val="0"/>
          </rPr>
          <t xml:space="preserve"> eingetragen werden.</t>
        </r>
      </text>
    </comment>
    <comment ref="B22" authorId="1">
      <text>
        <r>
          <rPr>
            <sz val="8"/>
            <rFont val="Tahoma"/>
            <family val="0"/>
          </rPr>
          <t>Lohn-/Einkommensteuer, Solidaritätszuschlag, Kirchensteuer, Gewerbesteuer, Kapitalertragssteuer.
Nicht absetzbar sind die sog. Verkehrssteuern (Mehrwertsteuer,
Vermögenssteuer etc.).</t>
        </r>
      </text>
    </comment>
    <comment ref="B23" authorId="1">
      <text>
        <r>
          <rPr>
            <sz val="8"/>
            <rFont val="Tahoma"/>
            <family val="2"/>
          </rPr>
          <t>Abgesetzt werden können die Beiträge zu Pflichtversicherungen in der gesetzlich vorgeschriebenen Höhe. Hierzu gehören
(a) die Pflichtbeiträge zur gesetzlichen Sozialversicherung aufgrund der gesetzlichen Versicherungspflicht (§ 4 SGB I): Krankenversicherung, Pflegeversicherung, Rentenversicherung, Beiträge zur Arbeitsförderung,
(b) die von versicherungspflichtigen Selbständigen im Rahmen der Sozialversicherung gezahlten Pflichtbeiträge für die Altershilfe für Landwirte, Handwerkerversicherung, Unfallversicherung,
(c) und die Pflichtbeiträge nach § 20 Abs. 3 SGB XI (Pflegeversicherung) von freiwillig Krankenversicherten.</t>
        </r>
      </text>
    </comment>
    <comment ref="B24" authorId="1">
      <text>
        <r>
          <rPr>
            <sz val="8"/>
            <rFont val="Tahoma"/>
            <family val="0"/>
          </rPr>
          <t xml:space="preserve">§ 11 II Nr. 3 a) für Personen, die in der gesetzlichen Krankenversicherung nicht versicherungspflichtig sind, soweit die Beträge nicht nach § 26 bezuschusst werden
</t>
        </r>
      </text>
    </comment>
    <comment ref="B25" authorId="1">
      <text>
        <r>
          <rPr>
            <sz val="8"/>
            <rFont val="Tahoma"/>
            <family val="0"/>
          </rPr>
          <t xml:space="preserve">§ 11 II Nr. 3 a) für Personen, die in der gesetzlichen Krankenversicherung nicht versicherungspflichtig sind,soweit die Beträge nicht nach § 26 bezuschusst werden
</t>
        </r>
      </text>
    </comment>
    <comment ref="B26" authorId="1">
      <text>
        <r>
          <rPr>
            <sz val="8"/>
            <rFont val="Tahoma"/>
            <family val="0"/>
          </rPr>
          <t xml:space="preserve">§ 11 Abs. 2 Nr. 3 b)
für Personen, die von der gesetzlichen Rentenversicherung befreit sind, soweit die Beträge nicht nach § 26 bezuschusst werden
</t>
        </r>
      </text>
    </comment>
    <comment ref="B28" authorId="1">
      <text>
        <r>
          <rPr>
            <sz val="8"/>
            <rFont val="Tahoma"/>
            <family val="2"/>
          </rPr>
          <t>Gesetzlich vorgeschrieben sind Kfz-Haftpflichtversicherung, Haftpflichtversicherungen bei bestimmten Berufsgruppen, wie z.B. Anwaltshaftpflichtversicherung und Arzthaftpflichtversicherung und die Gebäudebrandversicherung. Beiträge für diese Versicherungen sind in nachgewiesener Höhe vom Einkommen absetzbar. Die Versicherungen müssen tatsächlich vorgeschrieben sein, d.h. es besteht keine Wahlmöglichkeit.</t>
        </r>
      </text>
    </comment>
    <comment ref="B30" authorId="1">
      <text>
        <r>
          <rPr>
            <sz val="8"/>
            <rFont val="Tahoma"/>
            <family val="2"/>
          </rPr>
          <t xml:space="preserve">Als notwendige Aufwendungen zur Erwerbung, Sicherung und Erhaltung der Einnahmen können steuerlich anzuerkennende Werbungskosten in dem unabwendbar notwendigen Umfang berücksichtigt werden. Dies könnten z.B. sein:
doppelte Haushaltsführung (Absetzung in Höhe von 20 v.H. der steuerlichen Absetzbeträge), Beiträge zu Berufsverbänden und Gewerkschaften, Aufwendungen des Arbeitnehmers für Arbeitsmaterial, Berufskleidung, Arbeitsmittel, Kinderbetreuungskosten, Bewerbungskosten, Fahrtkosten, Fachliteratur, Fortbildung, IT/Telefon, Reisekosten, Umzugskosten, Unfallkosten, Werkzeuge.
Von </t>
        </r>
        <r>
          <rPr>
            <u val="single"/>
            <sz val="8"/>
            <rFont val="Tahoma"/>
            <family val="2"/>
          </rPr>
          <t>Einkommen aus unselbständiger Erwerbstätigkeit</t>
        </r>
        <r>
          <rPr>
            <sz val="8"/>
            <rFont val="Tahoma"/>
            <family val="2"/>
          </rPr>
          <t xml:space="preserve"> sind als Werbungskosten Pauschbeträge abzusetzen:
• monatlich ein Sechzigstel der steuerrechtlich geltenden Werbungskostenpauschale (ab 01.01.05: 15,33 € monatlich)
und zusätzlich • 0,06 Euro für jeden Entfernungskilometer der kürzesten Straßenverbindung für Wegstrecken zur Ausübung der Erwerbstätigkeit. Werden höhere notwendige Ausgaben nachgewiesen, können diese berücksichtigt werden.
Bei </t>
        </r>
        <r>
          <rPr>
            <u val="single"/>
            <sz val="8"/>
            <rFont val="Tahoma"/>
            <family val="2"/>
          </rPr>
          <t>selbständiger Erwerbstätigkeit</t>
        </r>
        <r>
          <rPr>
            <sz val="8"/>
            <rFont val="Tahoma"/>
            <family val="2"/>
          </rPr>
          <t xml:space="preserve">: Betriebsausgaben von 30% der Betriebseinnahmen.
Die Werbungskosten sind nur bei der Person abzusetzen, die das Erwerbseinkommen erzielt.
Bei Einkommen aus </t>
        </r>
        <r>
          <rPr>
            <u val="single"/>
            <sz val="8"/>
            <rFont val="Tahoma"/>
            <family val="2"/>
          </rPr>
          <t>Vermietung und Verpachtung</t>
        </r>
        <r>
          <rPr>
            <sz val="8"/>
            <rFont val="Tahoma"/>
            <family val="2"/>
          </rPr>
          <t xml:space="preserve"> die Grund- und Gebäudesteuern, öffentliche Abgaben, anteilige Schuldzinsen (nicht jedoch Tilgungsraten!) sowie Ausgaben für Instandsetzung und Instandhaltung. Soweit höhere Kosten nicht nachgewiesen werden, sind für Bewirtschaftung 1% und für Instandhaltung 10% der Bruttoeinnahmen anzusetzen.</t>
        </r>
      </text>
    </comment>
    <comment ref="B38" authorId="1">
      <text>
        <r>
          <rPr>
            <b/>
            <sz val="8"/>
            <rFont val="Tahoma"/>
            <family val="2"/>
          </rPr>
          <t>Nach § 30</t>
        </r>
        <r>
          <rPr>
            <sz val="8"/>
            <rFont val="Tahoma"/>
            <family val="0"/>
          </rPr>
          <t xml:space="preserve">. Berechnungsschritte sind unten in diesem Arbeitsblatt aufgeführt.
Von dem bereinigten Netto-Erwerbseinkommen werden 15% bei einem Bruttolohn bis 400 Euro, zusätzlich 30% des bereinigten Netto-Erwerbseinkommens aus dem Teil des Bruttolohns, der 400 € übersteigt und nicht mehr als 900 € beträgt und zusätzlich 15% des bereinigten Netto-Erwerbseinkommens aus dem Teil des Bruttolohns abgesetzt, der 900 € übersteigt und nicht mehr als 1.500 € beträgt. </t>
        </r>
      </text>
    </comment>
    <comment ref="B11" authorId="1">
      <text>
        <r>
          <rPr>
            <sz val="8"/>
            <rFont val="Tahoma"/>
            <family val="0"/>
          </rPr>
          <t>Ein Kind vor Vollendung des 12. Lebensjahres, das einen Anspruch auf Unterhalt hat, der von dem Unterhaltsverpflichteten nicht oder nur teilweise erfüllt wird, kann Anspruch auf einen Unterhaltsvorschuss
(Unterhaltsvorschusskasse des zuständigen Jugendamtes) haben. Dieser Betrag mindert als Einkommen ausschließlich den Bedarf des Kindes.</t>
        </r>
      </text>
    </comment>
    <comment ref="B10" authorId="1">
      <text>
        <r>
          <rPr>
            <sz val="8"/>
            <rFont val="Tahoma"/>
            <family val="2"/>
          </rPr>
          <t>Unterhalt von Angehörigen (Eltern, Geschwister, Kinder), Ehegatten oder von anderen Personen, in tatsächlich gezahlter Höhe.</t>
        </r>
        <r>
          <rPr>
            <sz val="8"/>
            <rFont val="Tahoma"/>
            <family val="0"/>
          </rPr>
          <t xml:space="preserve">
Ein Unterhaltsrückgriff gegenüber dem vom Hilfebedürftigen geschiedenen Ehegatten ist wegen des Nachrangs des Fürsorgesystems „Arbeitslosengeld II“ grundsätzlich möglich. Ein Unterhaltsrückgriff gegenüber Verwandten findet grundsätzlich nicht statt. Ausnahmen: Unterhaltsansprüche minderjähriger Hilfebedürftiger und von Hilfebedürftigen, die das 25. Lebensjahr noch nicht vollendet und die Erstausbildung noch nicht abgeschlossen haben, gegenüber ihren Eltern. Ein Unterhaltsrückgriff ist außerdem möglich, wenn der erwerbsfähige Hilfebedürftige den Unterhaltsanspruch selbst geltend macht.</t>
        </r>
      </text>
    </comment>
    <comment ref="B9" authorId="2">
      <text>
        <r>
          <rPr>
            <sz val="8"/>
            <rFont val="Tahoma"/>
            <family val="2"/>
          </rPr>
          <t>Empfänger der Grundsicherung für Arbeitsuchende erhalten künftig die angemessenen Unterkunftskosten vollständig durch die Transferleistung, d.h. neben dem Bezug von ALG II besteht kein Anspruch auf Bezug von Wohngeld (auch bereits bei Antragstelllung). Falls der Lebensunterhalt aber bereits durch Kinderzuschlag und Wohngeld sichergestellt werden kann, entfällt ALG II und das Wohngeld wird weiterhin gewährt.</t>
        </r>
        <r>
          <rPr>
            <sz val="8"/>
            <rFont val="Tahoma"/>
            <family val="0"/>
          </rPr>
          <t xml:space="preserve">
</t>
        </r>
      </text>
    </comment>
    <comment ref="B52" authorId="2">
      <text>
        <r>
          <rPr>
            <sz val="8"/>
            <rFont val="Tahoma"/>
            <family val="2"/>
          </rPr>
          <t>Nach dem Entwurf der Verordnung zu § 30 wird die Pauschale wie folgt errechnet:
In einem ersten Schritt wird ein einheitlicher Satz als Quote entsprechend dem Verhältnis gebildet, in der das um die Absetzbeträge nach § 11 Abs. 2 Nr. 1 bis 5 bereinigte Nettoeinkommen aus Erwerbstätigkeit zu dem Bruttogesamtlohn aus Erwerbstätigkeit steht. Diese Quote wird in einem zweiten Schritt bei der Ermittlung des bereinigten Nettoeinkommens zugrunde gelegt, das auf die einzelnen Stufen von § 30 Nrn. 1 bis 3 entfällt. Daraus ergibt sich der abzusetzende Pauschbetrag, der für die jeweilige Stufe zur Ermittlung des bereinigten Nettoeinkommens individuell in Absatz zu bringen ist. Aus den sich so ergebenden Nettobeträgen werden sodann die Freibeträge entsprechend der Stufenregelung des § 30 berechnet.</t>
        </r>
        <r>
          <rPr>
            <sz val="8"/>
            <rFont val="Tahoma"/>
            <family val="0"/>
          </rPr>
          <t xml:space="preserve">
</t>
        </r>
      </text>
    </comment>
    <comment ref="D1" authorId="2">
      <text>
        <r>
          <rPr>
            <sz val="8"/>
            <rFont val="Tahoma"/>
            <family val="2"/>
          </rPr>
          <t>§ 11 Zu berücksichtigendes Einkommen
(1) Als Einkommen zu berücksichtigen sind Einnahmen in Geld oder Geldeswert mit Ausnahme der Leistungen nach diesem Buch, der Grundrente nach dem Bundesversorgungsgesetz und nach den Gesetzen, die eine entsprechende Anwendung des Bundesversorgungsgesetzes vorsehen und der Renten oder Beihilfen, die nach dem Bundesentschädigungsgesetz für Schaden an Leben sowie an Körper oder Gesundheit erbracht werden, bis zur Höhe der vergleichbaren Grundrente nach dem Bundesversorgungsgesetz. Der Kinderzuschlag nach § 6a des Bundeskindergeldgesetzes ist als Einkommen dem jeweiligen Kind zuzurechnen. Dies gilt auch für das Kindergeld für minderjährige Kinder, soweit es bei dem jeweiligen
Kind zur Sicherung des Lebensunterhalts benötigt wird.
(2) Vom Einkommen sind abzusetzen
1. auf das Einkommen entrichtete Steuern,
2. Pflichtbeiträge zur Sozialversicherung einschließlich der Beiträge zur Arbeitsförderung,
3. Beiträge zu öffentlichen oder privaten Versicherungen oder ähnlichen Einrichtungen, soweit diese Beiträge gesetzlich
vorgeschrieben oder nach Grund und Höhe angemessensind; hierzu gehören Beiträge
a) zur Vorsorge für den Fall der Krankheit und der Pflegebedürftigkeit für Personen, die in der gesetzlichen
Krankenversicherung nicht versicherungspflichtigsind,
b) zur Altersvorsorge von Personen, die von der Versicherungspflicht in der gesetzlichen Rentenversicherung befreit sind,
soweit die Beiträge nicht nach § 26 bezuschusst werden,
4. geförderte Altersvorsorgebeiträge nach § 82 des Einkommensteuergesetzes, soweit sie den Mindesteigenbeitragnach § 86 Einkommensteuergesetzes nicht überschreiten,
5. die mit der Erzielung des Einkommens verbundenen notwendigen Ausgaben,
6. für Erwerbstätige ferner ein Betrag nach § 30.
(3) Nicht als Einkommen sind zu berücksichtigen
1. Einnahmen, soweit sie als 
a) zweckbestimmte Einnahmen,
b) Zuwendungen der freien Wohlfahrtspflege einem anderen Zweck als die Leistungen nach diesem Buch dienen und die Lage des Empfängers nicht so günstig beeinflussen, dass daneben Leistungen nach diesem Buch nicht gerechtfertigt wären, 2. Entschädigungen, die wegen eines Schadens, der nicht Vermögensschaden ist, nach § 253 Abs. 2 des Bürgerlichen Gesetzbuchs geleistet werden.</t>
        </r>
        <r>
          <rPr>
            <sz val="8"/>
            <rFont val="Tahoma"/>
            <family val="0"/>
          </rPr>
          <t xml:space="preserve">
</t>
        </r>
      </text>
    </comment>
    <comment ref="B12" authorId="2">
      <text>
        <r>
          <rPr>
            <sz val="8"/>
            <rFont val="Tahoma"/>
            <family val="2"/>
          </rPr>
          <t>Krankengeld ist grundsätzlich als Einkommen zu berücksichtigen.
Krankengeld, das nach § 25 (1) nach Ablauf der 6 Wochen
Leistungsfortzahlung gezahlt wird, ist Ersatz für Alg II und wird daher nicht als Einkommen angerechnet. Dasselbe gilt für andere Leistungen, die im Anschluss an Alg II an dessen Stelle in gleicher Höhe erbracht werden, wie z.B. Mutterschaftsgeld, Versorgungskrankengeld oder Verletztengeld.</t>
        </r>
        <r>
          <rPr>
            <sz val="8"/>
            <rFont val="Tahoma"/>
            <family val="0"/>
          </rPr>
          <t xml:space="preserve">
</t>
        </r>
      </text>
    </comment>
    <comment ref="B43" authorId="2">
      <text>
        <r>
          <rPr>
            <sz val="8"/>
            <rFont val="Tahoma"/>
            <family val="2"/>
          </rPr>
          <t xml:space="preserve">Einkommensteile, die auf Grund eines </t>
        </r>
        <r>
          <rPr>
            <u val="single"/>
            <sz val="8"/>
            <rFont val="Tahoma"/>
            <family val="2"/>
          </rPr>
          <t>titulierten</t>
        </r>
        <r>
          <rPr>
            <sz val="8"/>
            <rFont val="Tahoma"/>
            <family val="2"/>
          </rPr>
          <t xml:space="preserve"> Unterhaltsanspruches gepfändet sind, stehen den Betroffenen nicht als „bereites“, d.h. einsatzfähiges Einkommen zur Verfügung. Dies gilt – wegen der jederzeitigen Pfändbarkeit – auch für nicht gepfändete, aber titulierte Unterhaltsansprüche. Unhaltsansprüche, die ein Unterhaltsverpflichteter auf Grund eines mindestens titulierten Unterhaltsanspruches zu erbringen hat, sind daher von dem um die Absetzbeträge nach § 11 Abs. 2 Nrn. 1 bis 6 bereinigten Einkommen des Unterhaltsverpflichteten abzuziehen, wenn es sich um Unterhaltspflichten gegenüber Personen handelt, die gegenüber den Mitgliedern der Bedarfsgemeinschaft des Unterhaltsverpflichteten </t>
        </r>
        <r>
          <rPr>
            <u val="single"/>
            <sz val="8"/>
            <rFont val="Tahoma"/>
            <family val="2"/>
          </rPr>
          <t>unterhaltsrechtlich vorrangig sind oder diesen zumindest im Rang gleichstehen</t>
        </r>
        <r>
          <rPr>
            <sz val="8"/>
            <rFont val="Tahoma"/>
            <family val="2"/>
          </rPr>
          <t>. Bei den Unterhaltstiteln kann es sich auch um solche handeln, die gemäß den §§ 59 Abs.1 S. 1 Nr. 3, 4 i.V.m. 60 SGB VIII kostenfrei beim Jugendamt beschafft werden können.</t>
        </r>
        <r>
          <rPr>
            <sz val="8"/>
            <rFont val="Tahoma"/>
            <family val="0"/>
          </rPr>
          <t xml:space="preserve">
</t>
        </r>
      </text>
    </comment>
    <comment ref="B44" authorId="2">
      <text>
        <r>
          <rPr>
            <b/>
            <sz val="8"/>
            <rFont val="Tahoma"/>
            <family val="2"/>
          </rPr>
          <t xml:space="preserve">1. Rang: </t>
        </r>
        <r>
          <rPr>
            <sz val="8"/>
            <rFont val="Tahoma"/>
            <family val="2"/>
          </rPr>
          <t>-</t>
        </r>
        <r>
          <rPr>
            <u val="single"/>
            <sz val="8"/>
            <rFont val="Tahoma"/>
            <family val="2"/>
          </rPr>
          <t xml:space="preserve"> mdj. Kinder</t>
        </r>
        <r>
          <rPr>
            <sz val="8"/>
            <rFont val="Tahoma"/>
            <family val="2"/>
          </rPr>
          <t xml:space="preserve">, unverheiratete (innerhalb oder außerhalb bestehender Ehe geborene, adoptierte) Kinder (§§ 1609 Abs. 1, 1603 Abs. 2 S. 1 BGB); </t>
        </r>
        <r>
          <rPr>
            <u val="single"/>
            <sz val="8"/>
            <rFont val="Tahoma"/>
            <family val="2"/>
          </rPr>
          <t>privilegierte, vollj. Kinder</t>
        </r>
        <r>
          <rPr>
            <sz val="8"/>
            <rFont val="Tahoma"/>
            <family val="2"/>
          </rPr>
          <t xml:space="preserve"> im Haushalt eines Elternteils lebende, unverheiratete, in der allgemeinen Schulausbildung stehende Kinder bis zum 21. Lebensjahr (§§ 1609 Abs. 1, 1603 Abs. 2 S. 2 BGB); </t>
        </r>
        <r>
          <rPr>
            <u val="single"/>
            <sz val="8"/>
            <rFont val="Tahoma"/>
            <family val="2"/>
          </rPr>
          <t>derzeitiger/früherer Ehegatte</t>
        </r>
        <r>
          <rPr>
            <sz val="8"/>
            <rFont val="Tahoma"/>
            <family val="2"/>
          </rPr>
          <t xml:space="preserve"> (§ 1609 Abs. 2 S. 1, 2 BGB) [Sonderfall: Rangverhältnis zwischen Alt- und Neu-Ehegatte (§ 1582 BGB): Alt-Ehegatte hat Vorrang vor Neu-Ehegatte: 1. wenn er Betreuungsunterhalt fordern kann (§ 1582 Abs. 1 S. 2 BGB), 2. wenn er Billigkeitsunterhalt fordern kann (§ 1582 Abs. 1 S. 2 BGB), 3. bei langer Ehedauer (§ 1582 Abs. 1 S. 2, 3 BGB); 4. bei Fehlen eines hypothetischen Anspruchs des neuen Ehegatten gemäß §§ 1569ff. BGB (§ 1582 Abs. 1 S. 1 BGB); Beachte: Der Gleichrang mit Kindern gilt nur für den bevorrechtigten Ehegatten, nicht für den nachrangigen Ehegatten]
</t>
        </r>
        <r>
          <rPr>
            <b/>
            <sz val="8"/>
            <rFont val="Tahoma"/>
            <family val="2"/>
          </rPr>
          <t>2. Rang:</t>
        </r>
        <r>
          <rPr>
            <sz val="8"/>
            <rFont val="Tahoma"/>
            <family val="2"/>
          </rPr>
          <t xml:space="preserve"> unverheiratete/r Mutter/Vater („Betreuungsunterhalt“; § 1615l Abs. 3 S. 3, Abs. 5 BGB)
</t>
        </r>
        <r>
          <rPr>
            <b/>
            <sz val="8"/>
            <rFont val="Tahoma"/>
            <family val="2"/>
          </rPr>
          <t xml:space="preserve">3. Rang: </t>
        </r>
        <r>
          <rPr>
            <sz val="8"/>
            <rFont val="Tahoma"/>
            <family val="2"/>
          </rPr>
          <t xml:space="preserve">sonstige Kinder, nicht von § 1603 Abs. 2 BGB erfasste Kinder, z.B. mdj., verheiratete Kinder, vollj. behinderte Kinder (§ 1609 Abs. 1 BGB)
</t>
        </r>
        <r>
          <rPr>
            <b/>
            <sz val="8"/>
            <rFont val="Tahoma"/>
            <family val="2"/>
          </rPr>
          <t>4. Rang:</t>
        </r>
        <r>
          <rPr>
            <sz val="8"/>
            <rFont val="Tahoma"/>
            <family val="2"/>
          </rPr>
          <t xml:space="preserve"> Lebenspartner (§ 16 Abs. 3 LPartG) [Sonderfall: Rangverhältnis zwischen Alt- und Neu-Lebenspartner (§ 16 Abs. 3, 1. HS LPartG): Der Alt-Lebenspartner hat Vorrang vor dem Neu-Lebenspartner]
</t>
        </r>
        <r>
          <rPr>
            <b/>
            <sz val="8"/>
            <rFont val="Tahoma"/>
            <family val="2"/>
          </rPr>
          <t>5. Rang:</t>
        </r>
        <r>
          <rPr>
            <sz val="8"/>
            <rFont val="Tahoma"/>
            <family val="2"/>
          </rPr>
          <t xml:space="preserve"> Enkelkinder („Abkömmlinge“; § 1609 Abs. 1 BGB)
</t>
        </r>
        <r>
          <rPr>
            <b/>
            <sz val="8"/>
            <rFont val="Tahoma"/>
            <family val="2"/>
          </rPr>
          <t xml:space="preserve">6. Rang: </t>
        </r>
        <r>
          <rPr>
            <sz val="8"/>
            <rFont val="Tahoma"/>
            <family val="2"/>
          </rPr>
          <t>Eltern, Großeltern („aufsteigende Linie“; § 1609 Abs. 1 BGB)</t>
        </r>
        <r>
          <rPr>
            <sz val="8"/>
            <rFont val="Tahoma"/>
            <family val="0"/>
          </rPr>
          <t xml:space="preserve">
</t>
        </r>
      </text>
    </comment>
    <comment ref="B27" authorId="1">
      <text>
        <r>
          <rPr>
            <sz val="8"/>
            <rFont val="Tahoma"/>
            <family val="2"/>
          </rPr>
          <t>Die für die staatliche Altersvorsorge (Riester-Renten) aufgewendeten Beträge können abgesetzt werden. Maßgeblich sind nur die zertifizierten Altersvorsorgeverträge (Altersvorsorgeverträge-Zertifizierungsgesetz). Der berücksichtigungsfähige Betrag wird durch die Höhe des Mindesteigenbeitrages nach § 86 EStG begrenzt (2005 = 2%, ab 2006 = 3%, ab 2008 = 4% der Einnahmen des vorangegangenen Kalenderjahres abzüglich der Zulagen). Über den Mindesteigenbeitrag hinaus gezahlte Beiträge werden nicht mehr staatlich gefördert und können daher nicht mehr berücksichtigt werden. Zahlungen können formlos nachgewiesen werden, z.B. durch eine Bescheinigung des Versicherungsunternehmens oder Vorlage von Kontoauszügen, aus denen die Zahlung ersichtlich ist.</t>
        </r>
      </text>
    </comment>
    <comment ref="B15" authorId="2">
      <text>
        <r>
          <rPr>
            <sz val="8"/>
            <rFont val="Tahoma"/>
            <family val="2"/>
          </rPr>
          <t xml:space="preserve">Einmalige Einnahmen und Einnahmen, die in größeren als monatlichen Zeitabständen anfallen, wenn sie für jedes Mitglied der Bedarfsgemeinschaft jährlich 50 Euro übersteigen (z.B.Lohnsteuererstattungen, Eigenheimzulage, Gratifikationen, Weihnachtsgeld, Urlaubsgeld, Erträge oder Zinsen). </t>
        </r>
        <r>
          <rPr>
            <sz val="8"/>
            <rFont val="Tahoma"/>
            <family val="0"/>
          </rPr>
          <t>Sie werden von dem Monat an berücksichtigt, in dem sie zufließen. Dies bedeutet, dass solange kein Arbeitslosengeld II gewährt wird, wie die einmaligen Einnahmen – nach Abzug der üblichen Absetzbeträge sowie der Beträge für eine dann erforderliche freiwillige Weiterversicherung in der Kranken- und Pflegeversicherung - zur Bestreitung des Lebensunterhalts ausreichen. Die Träger der Grundsicherung für Arbeitsuchende können in begründeten Einzelfällen von dieser Vorschrift abweichen, wenn die Berücksichtigung als Einkommen eine besondere Härte für den Hilfebedürftigen bedeuten würde. Unabhänig davon ist aber immer eine Berücksichtigung als Vermögen zu prüfen. Eine besondere Härte kann z.B. vorliegen, wenn
• eine Sozialleistung, für einen Zeitraum vor Inkrafttreten des SGB II wegen Säumnis des Leistungsträgers nachgezahlt wird,
• der Sinn und Zweck der Leistung einer Berücksichtigung als Einkommen entgegen steht (z.B. Insolvenzgeld),
• eine andere Sozialleistung zunächst vorläufig festgesetzt wurde und eine Differenznachzahlung erst während der Bedarfszeit erfolgt oder
• eine Nachzahlung aufgrund eines Widerspruchs-/ Klageverfahrens erst während der Bedarfszeit erfolgt.
Von den Trägern der Grundsicherung für Arbeitsuchende kann also z.B. bei Verzugslohn Nachzahlungen, geleistetem Unterhaltsrückstand, nachgezahlten Abfindungen oder Rentennachzahlungen, soweit sie sich auf Zeiten vor dem Bezug von Arbeitslosengeld II beziehen, im Einzelfall das Vorliegen einer besonderen Härte anerkannt werden.</t>
        </r>
      </text>
    </comment>
    <comment ref="B4" authorId="2">
      <text>
        <r>
          <rPr>
            <sz val="8"/>
            <rFont val="Tahoma"/>
            <family val="2"/>
          </rPr>
          <t xml:space="preserve">Im Zweiten Buch Sozialgesetzbuch, in anderen Gesetzen und in der Arbeitslosengeld II/ Sozialgeld-Verordnung sind zahlreiche Ausnahmen im Sinne eines privilegierten (nicht zu berücksichtigenden) Einkommens geregelt. Dies betrifft insbesondere Grundrenten nach dem Bundesversorgungsgesetz und ähnliche Renten, Erziehungsgeld, Leistungen der Pflegeversicherung sowie eine Reihe </t>
        </r>
        <r>
          <rPr>
            <u val="single"/>
            <sz val="8"/>
            <rFont val="Tahoma"/>
            <family val="2"/>
          </rPr>
          <t>zweckbestimmter Leistungen</t>
        </r>
        <r>
          <rPr>
            <sz val="8"/>
            <rFont val="Tahoma"/>
            <family val="2"/>
          </rPr>
          <t>:
• Arbeitsförderungsgeld in Werkstatt für Behinderte - WfbM - (§ 43 SGB IX), • Aufwandsentschädigungen für Mitglieder kommunaler Vertretungen und Ausschüsse, • Anpassungshilfe an ältere landwirtschaftliche Arbeitnehmer aus Mitteln der Gemeinschaftsaufgabe „Verbesserung der Agrarstruktur und des Küstenschutzes, • Blindenführhundleistungen, • Blindengeld nach den Landesblindengesetzen, • Elternrente (§ 49 BVG), • Entschädigung für Blutspender, • Erholungshilfe (§ 27b BVG), • Ersatzleistungen für Luftschutzdienst, • Kleider- und Wäscheverschleißleistung (§ 15 BVG), • Leistungen der gesetzlichen Pflegeversicherung und gleichwertige Leistungen der privaten Pflegeversicherung, • Leistungen nach § 7 Unterhaltssicherungsgesetz (USG), • Mehraufwands-Wintergeld (§ 212 SGB III), • Leistungen zur Förderung der Arbeitsaufnahme (Mobilitätshilfen §§ 53 ff SGB III – mindern ggf. die Werbungskosten - ), • Pflegegeld (Aufwendungsersatz) nach § 23 SGB VIII – Kinder- und Jungendschutzgesetz - bei nicht gewerbsmäßiger Pflege (Einzelfallprüfung nach 6 Kindern), • Schwerstbeschädigtenzulage (§ 31Abs. 5 BVG,) • SED-Opfer-Kapitalentschädigung (Gesetz zur Bereinigung von SED-Unrecht § 16 Abs. 4), • soziale Ausgleichsleistungen für SED-Opfer ( §9 Abs. 1 Berufliches und 16 Abs. 4 Strafrechtliches Rehabilitationsgesetz), • pauschale Eingliederungshilfe für Spätaussiedler aus der ehemaligen UDSSR, • steuerfreie Aufwandsentschädigung aus öffentlichen Kassen für öffentliche Dienste im Rahmen des tatsächlichen Aufwandes, • steuerfreie Einnahmen aus einer nebenberuflichen Tätigkeit als Übungsleiter (§ 3 Nr. 26 EStG), • Aufwandsentschädigungen im Rahmen sonstiger ehrenamtlicher Tätigkeiten (z.B. freiwillige Feuerwehr), • Witwen- und Witwerrente für das sog. Sterbevierteljahr zu dem das Normalmaß übersteigende Betrag, • die vom Arbeitgeber zusätzlich zum Arbeitslohn gezahlten vermögenswirksamen Leistungen.
Solche zweckgebundene Einnahmen sind aber nur anrechnungsfrei, wenn sie die Lage des Empfängers nicht so günstig beeinflussen, dass daneben Leistungen des Arbeitslosengeldes II/Sozialgeld nicht gerechtfertigt wären. Dies ist z.B. der Fall, wenn die Einnahmen und Zuwendungen einen Betrag in Höhe einer halben monatlichen Regelleistung, also etwa 173/165 Euro, nicht übersteigen. Zweckgebundene Einnahmen, die dem gleichen Zweck wie das Arbeitslosengeld II / Sozialgeld dienen, sind grundsätzlich als Einkommen zu berücksichtigen.</t>
        </r>
        <r>
          <rPr>
            <sz val="8"/>
            <rFont val="Tahoma"/>
            <family val="0"/>
          </rPr>
          <t xml:space="preserve">
</t>
        </r>
      </text>
    </comment>
    <comment ref="B13" authorId="2">
      <text>
        <r>
          <rPr>
            <sz val="8"/>
            <rFont val="Tahoma"/>
            <family val="2"/>
          </rPr>
          <t>mit Ausnahme der Grundrente nach dem Bundesversorgungsgesetz und nach den Gesetzen, die eine entsprechende Anwendung des BVG vorsehen und der Renten oder Beihilfen, die nach dem Bundesentschädigungsgesetz für Schaden an Leben sowie an Körper oder Gesundheit erbracht werden, bis zur Höhe der vergleichbaren Grundrente nach dem BVG.</t>
        </r>
        <r>
          <rPr>
            <sz val="8"/>
            <rFont val="Tahoma"/>
            <family val="0"/>
          </rPr>
          <t xml:space="preserve">
</t>
        </r>
      </text>
    </comment>
    <comment ref="B74" authorId="2">
      <text>
        <r>
          <rPr>
            <sz val="8"/>
            <rFont val="Tahoma"/>
            <family val="2"/>
          </rPr>
          <t>Die jeweiligen Freibeträge sind zu addieren und vom (Gesamt-)Nettoeinkommen abzuziehen. Der verbleibende Restbetrag ist als Einkommen anzurechnen.</t>
        </r>
        <r>
          <rPr>
            <sz val="8"/>
            <rFont val="Tahoma"/>
            <family val="0"/>
          </rPr>
          <t xml:space="preserve">
</t>
        </r>
      </text>
    </comment>
    <comment ref="B59" authorId="2">
      <text>
        <r>
          <rPr>
            <sz val="8"/>
            <rFont val="Tahoma"/>
            <family val="2"/>
          </rPr>
          <t>Das (Gesamt-)Bruttoeinkommen ist entsprechend der Staffelung des § 30 in 3 Stufen aufzuteilen: ● 1. Stufe: für den Brutto-Teilbetrag bis 400 € sind als Freibetrag 15 vH, ● 2. Stufe: für den Brutto-Teilbetrag von 400,01 € bis 900 € sind als Freibetrag 30 vH und ● 3. Stufe: für den Brutto-Teilbetrag von 900,01 € bis 1500 € sind als Freibetrag 15 vH zu berücksichtigen.
Damit jeder dieser Teilbeträge in seiner Belastung mit Abzügen nach § 11 Abs. 2 Nr. 1 bis 5 gleich behandelt wird, wird zunächst das Verhältnis des ermittelten (Gesamt-)Nettolohnes zum (Gesamt-) Bruttolohn errechnet. Dieser Quotient ist auf 4 Nachkommastellen zu runden. Dieses Verhältnis ist dann auf jeden dieser Teilbeträge
zu übertragen, so dass sich für jede Stufe ein (pauschaler) Nettobetrag ergibt. Aus diesen Nettobeträgen werden dann die, für jede Stufe maßgeblichen Freibeträge errechnet. Bei einem Gesamteinkommen bis 400 € entspricht in der Regel das Bruttoeinkommen dem Nettoeinkommen. Hiervon können noch Aufwendungen nach § 11 Abs. 2 Nr. 3 bis 5 abgesetzt werden.</t>
        </r>
        <r>
          <rPr>
            <sz val="8"/>
            <rFont val="Tahoma"/>
            <family val="0"/>
          </rPr>
          <t xml:space="preserve">
</t>
        </r>
      </text>
    </comment>
    <comment ref="B29" authorId="2">
      <text>
        <r>
          <rPr>
            <sz val="8"/>
            <rFont val="Tahoma"/>
            <family val="2"/>
          </rPr>
          <t>Gem. § 3 Nr. 1 der Verordnung zur Berechnung von Einkommen sowie zur Nichtberücksichtigung von Einkommen und Vermögen beim Arbeitslosengeld II/Sozialgeld sind von dem Einkommen volljähriger Hilfebedürftiger und von dem Einkommen minderjähriger Hilfebedürftiger, soweit diese nicht mit volljährigen Hilfebedürftigen in Bedarfsgemeinschaft nach § 7 Abs. 3 leben, ein Betrag in Höhe von 30 Euro monatlich für die Beiträge zu privaten Versicherungen, die nach Grund und Höhe angemessen sind abzusetzen (§ 11 Abs. 2 Nr. 3). Hierzu gehören insbesondere Beiträge für Hausrat- und private Haftpflichtversicherungen.</t>
        </r>
      </text>
    </comment>
    <comment ref="B35" authorId="2">
      <text>
        <r>
          <rPr>
            <sz val="8"/>
            <rFont val="Tahoma"/>
            <family val="2"/>
          </rPr>
          <t>Gem. Verwaltungspraxis der BA i.d.R. 19 Arbeitstage im Monat. Individuelle Abweichungen können berücksichtigt werden.</t>
        </r>
        <r>
          <rPr>
            <sz val="8"/>
            <rFont val="Tahoma"/>
            <family val="0"/>
          </rPr>
          <t xml:space="preserve">
</t>
        </r>
      </text>
    </comment>
    <comment ref="B37" authorId="2">
      <text>
        <r>
          <rPr>
            <sz val="8"/>
            <rFont val="Tahoma"/>
            <family val="2"/>
          </rPr>
          <t>z.B. Fahrkarte für öffentliche Verkehrmittel</t>
        </r>
        <r>
          <rPr>
            <sz val="8"/>
            <rFont val="Tahoma"/>
            <family val="0"/>
          </rPr>
          <t xml:space="preserve">
</t>
        </r>
      </text>
    </comment>
    <comment ref="B6" authorId="2">
      <text>
        <r>
          <rPr>
            <sz val="8"/>
            <rFont val="Tahoma"/>
            <family val="2"/>
          </rPr>
          <t>Als Einkommen ist der Betrag anzusetzen, der vom Hilfebedürftigen für den Bewilligungsabschnitt als Betriebseinnahmen geschätzt wird. Die Schätzung soll auf früheren Betriebsergebnissen basieren und kann anhand einer Steuerentscheidung über das Vorjahresergebnis oder, falls eine solche noch nicht vorliegt (z.B. bei Neugründung), durch andere geeignete Unterlagen (z.B. Prognose des Steuerberaters) belegt werden. Plausible Schwankungen bei saisonbedingten Änderungen sollen berücksichtigt werden.</t>
        </r>
        <r>
          <rPr>
            <sz val="8"/>
            <rFont val="Tahoma"/>
            <family val="0"/>
          </rPr>
          <t xml:space="preserve">
</t>
        </r>
      </text>
    </comment>
    <comment ref="B5" authorId="2">
      <text>
        <r>
          <rPr>
            <u val="single"/>
            <sz val="8"/>
            <rFont val="Tahoma"/>
            <family val="2"/>
          </rPr>
          <t>Beispiel 1:</t>
        </r>
        <r>
          <rPr>
            <sz val="8"/>
            <rFont val="Tahoma"/>
            <family val="2"/>
          </rPr>
          <t xml:space="preserve"> Antrag auf Alg II am 1.3.2005; das Gehalt für Februar 2005 aus einer vorangegangenen Beschäftigung wird am 27.2.2005 ausgezahlt =&gt; keine Anrechnung, da Zufluss noch vor dem 01.03.05. Alternative: Gehalt aus dieser Beschäftigung wird am 10.03.05 ausgezahlt =&gt; Anrechnung als „laufende“ Einnahme auf den Bedarf für März 2005.</t>
        </r>
        <r>
          <rPr>
            <sz val="8"/>
            <rFont val="Tahoma"/>
            <family val="0"/>
          </rPr>
          <t xml:space="preserve">
</t>
        </r>
        <r>
          <rPr>
            <u val="single"/>
            <sz val="8"/>
            <rFont val="Tahoma"/>
            <family val="2"/>
          </rPr>
          <t>Beispiel 2:</t>
        </r>
        <r>
          <rPr>
            <sz val="8"/>
            <rFont val="Tahoma"/>
            <family val="0"/>
          </rPr>
          <t xml:space="preserve"> Laufender Bezug von Alg II. Aufnahme einer Beschäftigung am 15.3.2005; Gehalt für März (15.3.- 31.3.) wird am 05.04.05, das für April am 27.4.2005 ausgezahlt. Da beide Einkommen im Monat April zufließen und zur Bestreitung des Lebensunterhalts eingesetzt werden können, ist Alg II bis 31.3.2005 in unveränderter Höhe weiter zu zahlen. Im April sind beide Einkommen anzurechnen. Es ist auch zu prüfen, ob das Einkommen für einen Monat (ab Mai) bedarfsdeckend ist; ggfs. ist Alg II ab 01.05.05 unter Anrechnung des Einkommens weiter zu leisten.</t>
        </r>
      </text>
    </comment>
    <comment ref="B7" authorId="2">
      <text>
        <r>
          <rPr>
            <u val="single"/>
            <sz val="8"/>
            <rFont val="Tahoma"/>
            <family val="2"/>
          </rPr>
          <t>Beispiel:</t>
        </r>
        <r>
          <rPr>
            <sz val="8"/>
            <rFont val="Tahoma"/>
            <family val="2"/>
          </rPr>
          <t xml:space="preserve"> Antrag auf Alg II am 1.4.2005; Arbeitslosengeldbezug bis 31.3.2005; Im März 2005 fließt die Abschlusszahlung für 1. – 31. März 2005 zu und ist auf den Alg II – Anspruch für April 2005 </t>
        </r>
        <r>
          <rPr>
            <u val="single"/>
            <sz val="8"/>
            <rFont val="Tahoma"/>
            <family val="2"/>
          </rPr>
          <t>nicht</t>
        </r>
        <r>
          <rPr>
            <sz val="8"/>
            <rFont val="Tahoma"/>
            <family val="2"/>
          </rPr>
          <t xml:space="preserve"> anzurechnen.</t>
        </r>
        <r>
          <rPr>
            <sz val="8"/>
            <rFont val="Tahoma"/>
            <family val="0"/>
          </rPr>
          <t xml:space="preserve">
</t>
        </r>
      </text>
    </comment>
  </commentList>
</comments>
</file>

<file path=xl/comments5.xml><?xml version="1.0" encoding="utf-8"?>
<comments xmlns="http://schemas.openxmlformats.org/spreadsheetml/2006/main">
  <authors>
    <author>XYZ</author>
    <author>Brinkmann</author>
    <author>(:-XX)</author>
  </authors>
  <commentList>
    <comment ref="B20" authorId="0">
      <text>
        <r>
          <rPr>
            <sz val="8"/>
            <rFont val="Tahoma"/>
            <family val="2"/>
          </rPr>
          <t xml:space="preserve">Grundfreibetrag in Höhe von 200 Euro je vollendetem Lebensjahr des volljährigen (nicht nur erwerbsfähigen) Hilfebedürftigen und seines Partners, mindestens aber jeweils 4100 Euro; der Grundfreibetrag darf für den erwerbsfähigen Hilfebedürftigen und seinen Partner jeweils 13000 Euro nicht übersteigen. Für jedes hilfebedürftige Kind gilt ebenfalls ein Grundbetrag in Höhe von 4.100 Euro.
Nach § 65 Abs. 5 SGB II i. V. mit § 4 Abs. 2 S. 2 Arbeitslosenhilfe-Verordnung (Fassung vom 13.12.2001) wird für </t>
        </r>
        <r>
          <rPr>
            <u val="single"/>
            <sz val="8"/>
            <rFont val="Tahoma"/>
            <family val="2"/>
          </rPr>
          <t>Personen, die vor dem 01.01.1948 geboren sind</t>
        </r>
        <r>
          <rPr>
            <sz val="8"/>
            <rFont val="Tahoma"/>
            <family val="2"/>
          </rPr>
          <t>, ein Freibetrag von 520 € je Lebensjahr eingeräumt, maximal 33.800 €. Diese Regelung gilt generell, unabhängig davon, ob vor dem Bezug von Alg II Arbeitslosenhilfe bezogen wurde.</t>
        </r>
        <r>
          <rPr>
            <sz val="8"/>
            <rFont val="Tahoma"/>
            <family val="0"/>
          </rPr>
          <t xml:space="preserve">
</t>
        </r>
      </text>
    </comment>
    <comment ref="B22" authorId="0">
      <text>
        <r>
          <rPr>
            <u val="single"/>
            <sz val="8"/>
            <rFont val="Tahoma"/>
            <family val="2"/>
          </rPr>
          <t xml:space="preserve">§ 12 Abs. 2 Nr. 2 </t>
        </r>
        <r>
          <rPr>
            <sz val="8"/>
            <rFont val="Tahoma"/>
            <family val="2"/>
          </rPr>
          <t>: "Altersvorsorge in Höhe des nach Bundesrecht ausdrücklich als Altersvorsorge geförderten Vermögens einschließlich seiner Erträge und der geförderten laufenden Altersvorsorgebeiträge, soweit der Inhaber das Altersvorsorgevermögen nicht vorzeitig verwendet."</t>
        </r>
        <r>
          <rPr>
            <sz val="8"/>
            <rFont val="Tahoma"/>
            <family val="0"/>
          </rPr>
          <t xml:space="preserve">
Grundsätzlich ist ein als Altersvorsorge durch das Altersvermögensgesetz gefördertes Vermögen (Riester-Anlageformen) eigenständig und </t>
        </r>
        <r>
          <rPr>
            <u val="single"/>
            <sz val="8"/>
            <rFont val="Tahoma"/>
            <family val="2"/>
          </rPr>
          <t>ohne Obergrenze</t>
        </r>
        <r>
          <rPr>
            <sz val="8"/>
            <rFont val="Tahoma"/>
            <family val="0"/>
          </rPr>
          <t xml:space="preserve"> privilegiert. Geschützt sind die geförderten Altersvorsorgeaufwendungen (Eigenbeiträge und Zulagen) sowie die Erträge hieraus. Der Höchstbetrag der staatlichen Förderung und somit auch der Privilegierung richtet sich nach § 10 a Einkommenssteuergesetz (EStG):
</t>
        </r>
        <r>
          <rPr>
            <u val="single"/>
            <sz val="8"/>
            <rFont val="Tahoma"/>
            <family val="2"/>
          </rPr>
          <t>Kalenderjahr -- Jährlicher Höchstbetrag (Eigenbetrag und Zulage)</t>
        </r>
        <r>
          <rPr>
            <sz val="8"/>
            <rFont val="Tahoma"/>
            <family val="0"/>
          </rPr>
          <t>:
2002 und 2003:    525 €
2004 und 2005: 1.050 €
2006 und 2007: 1.575 €
Ab 2008:           2.100 €</t>
        </r>
      </text>
    </comment>
    <comment ref="B23" authorId="0">
      <text>
        <r>
          <rPr>
            <u val="single"/>
            <sz val="8"/>
            <rFont val="Tahoma"/>
            <family val="2"/>
          </rPr>
          <t xml:space="preserve">§ 12 Abs. 2 Nr. 3 </t>
        </r>
        <r>
          <rPr>
            <sz val="8"/>
            <rFont val="Tahoma"/>
            <family val="2"/>
          </rPr>
          <t xml:space="preserve">: "Geldwerte Ansprüche, die der Altersvorsorge dienen, soweit der Inhaber sie vor dem Eintritt in den Ruhestand auf Grund einer vertraglichen Vereinbarung nicht verwerten kann und der Wert der geldwerten Ansprüche 200 Euro je vollendetem Lebensjahr des erwerbsfähigen Hilfebedürftigen und seines Partners, höchstens jedoch jeweils 13000 Euro nicht übersteigt."
</t>
        </r>
        <r>
          <rPr>
            <sz val="8"/>
            <rFont val="Tahoma"/>
            <family val="0"/>
          </rPr>
          <t xml:space="preserve">Der Freibetrag gilt für jegliche Form der Altersvorsorge (Ausn.: Riester-Anlagen). Maßgebend  ist  jedoch, dass  deren  Verwertung vor Eintritt in den Ruhestand vertraglich unwiderruflich ausgeschlossen ist. Auch ein Rückkauf/eine Kündigung oder eine Beleihung darf nicht möglich sein. Dies muss aus der jeweiligen Vereinbarung (z.B. Versicherungsvertrag) eindeutig hervorgehen. Nach  § 165 Abs.3 Versicherungsvertragsgesetz kann beispielsweise bei Versicherungsleistungen die vorherige Verwertbarkeit  in Höhe der eingeräumten Freibeträge ausgeschlossen werden. Ist  der Wert der geldwerten Ansprüche aus einer Altersvorsorge höher, unterliegen  die darüber hinausgehenden Beträge der Verwertbarkeit. 
</t>
        </r>
      </text>
    </comment>
    <comment ref="B11" authorId="0">
      <text>
        <r>
          <rPr>
            <sz val="8"/>
            <rFont val="Tahoma"/>
            <family val="2"/>
          </rPr>
          <t xml:space="preserve">Soweit es sich um ein </t>
        </r>
        <r>
          <rPr>
            <u val="single"/>
            <sz val="8"/>
            <rFont val="Tahoma"/>
            <family val="2"/>
          </rPr>
          <t>selbst genutztes</t>
        </r>
        <r>
          <rPr>
            <sz val="8"/>
            <rFont val="Tahoma"/>
            <family val="2"/>
          </rPr>
          <t xml:space="preserve"> Hausgrundstück von angemessener Größe oder eine entsprechende Eigentumswohnung handelt, muss das Vermögen nicht verwertet werden. Angemessen ist die Haus-/Wohnungsgröße regelmäßig bei einer Wohnfläche von </t>
        </r>
        <r>
          <rPr>
            <u val="single"/>
            <sz val="8"/>
            <rFont val="Tahoma"/>
            <family val="2"/>
          </rPr>
          <t>bis zu 130 qm</t>
        </r>
        <r>
          <rPr>
            <sz val="8"/>
            <rFont val="Tahoma"/>
            <family val="2"/>
          </rPr>
          <t xml:space="preserve">. Bezüglich der Grundstücksgröße ist eine Fläche von bis zu 500 qm im städtischen und 800 qm im ländlichen Bereich angemessen, soweit nicht der maßgebliche Bebauungsplan höhere Werte festlegt  (§ 12 Abs. 3 Nr. 4). Bei der Feststellung des Wertes einer Immobilie sind dingliche
Belastungen (Grundschulden, Hypotheken und Nießbrauch) zu berücksichtigen. Andere Verbindlichkeiten bleiben außer Betracht. Ist die Wohnfläche nicht in abgeschlossene Wohneinheiten  aufgeteilt, kann vom Hilfebedürftigen in der Regel nicht erwartet werden, sein selbst bewohntes Grundstück zu verkaufen, um an anderer Stelle ein neues Grundstück mit einem vorhandenen oder noch zu bauenden Gebäude zu kaufen. Der Hilfebedürftige muss vielmehr mögliche Ertragsquellen  nutzen (z. B. zimmerweise Vermietung). 
Wenn eine  Immobilie </t>
        </r>
        <r>
          <rPr>
            <u val="single"/>
            <sz val="8"/>
            <rFont val="Tahoma"/>
            <family val="2"/>
          </rPr>
          <t>nicht selbst genutzt</t>
        </r>
        <r>
          <rPr>
            <sz val="8"/>
            <rFont val="Tahoma"/>
            <family val="2"/>
          </rPr>
          <t xml:space="preserve"> ist, ist sie vorrangig durch Verkauf oder Beleihung verwertbar.
Ggf. kommt die Gewährung eines Darlehens nach § 9 Abs. 4 in Betracht, wenn eine sofortige Verwertung nicht möglich ist.</t>
        </r>
      </text>
    </comment>
    <comment ref="B10" authorId="1">
      <text>
        <r>
          <rPr>
            <sz val="8"/>
            <rFont val="Tahoma"/>
            <family val="2"/>
          </rPr>
          <t xml:space="preserve">Nicht berücksichtigt wird z.B. angemessener Hausrat und ein angemessenes Kfz. Ein angemessenes Auto für jeden Erwerbsfähigen der Bedarfsgemeinschaft oder ein Motorrad ist nicht als Vermögen zu berücksichtigen. Die Prüfung der Angemessenheit hat unter Berücksichtigung der Umstände des Einzelfalls (Größe der Bedarfsgemeinschaft, Anzahl der Kfz im Haushalt, Zeitpunkt des Erwerbs) zu erfolgen.
Ist ein Verkaufserlös abzüglich ggf. noch bestehender Kreditverbindlichkeiten
von maximal 5.000 Euro erreichbar, ist das Auto/Motorrad i.d.R. angemessen. Ein evtl. </t>
        </r>
        <r>
          <rPr>
            <u val="single"/>
            <sz val="8"/>
            <rFont val="Tahoma"/>
            <family val="2"/>
          </rPr>
          <t>übersteigender Betrag</t>
        </r>
        <r>
          <rPr>
            <sz val="8"/>
            <rFont val="Tahoma"/>
            <family val="2"/>
          </rPr>
          <t xml:space="preserve"> ist hier einzutragen.</t>
        </r>
      </text>
    </comment>
    <comment ref="B9" authorId="1">
      <text>
        <r>
          <rPr>
            <sz val="8"/>
            <rFont val="Tahoma"/>
            <family val="2"/>
          </rPr>
          <t>Sofern der Rückkaufswert (zu erfragen bei der Versicherung) weniger als 90% der Gesamtsumme der eingezahlten Beiträge beträgt, muss die Versicherung nicht verwertet werden.</t>
        </r>
        <r>
          <rPr>
            <sz val="8"/>
            <rFont val="Tahoma"/>
            <family val="0"/>
          </rPr>
          <t xml:space="preserve">
</t>
        </r>
      </text>
    </comment>
    <comment ref="B7" authorId="2">
      <text>
        <r>
          <rPr>
            <sz val="8"/>
            <rFont val="Tahoma"/>
            <family val="2"/>
          </rPr>
          <t>Bei  einer  Vermögensanlage in Aktien, Aktienfonds oder ähnlichen Anlagen (insbesondere solche mit Tageskurs) ist aber aus der Anlageform heraus ein gewisses Risiko gegeben. Die Übernahme dieses  Risikos würde bei einer Nichtberücksichtigung praktisch durch die  Grundsicherung  für Arbeitsuchende erfolgen. Solche Anlagen sind daher unabhängig vom  früheren Kaufpreis als Vermögen zu berücksichtigen.</t>
        </r>
        <r>
          <rPr>
            <sz val="8"/>
            <rFont val="Tahoma"/>
            <family val="0"/>
          </rPr>
          <t xml:space="preserve">
</t>
        </r>
      </text>
    </comment>
    <comment ref="B1" authorId="1">
      <text>
        <r>
          <rPr>
            <b/>
            <sz val="8"/>
            <rFont val="Tahoma"/>
            <family val="2"/>
          </rPr>
          <t>Verwertbar</t>
        </r>
        <r>
          <rPr>
            <sz val="8"/>
            <rFont val="Tahoma"/>
            <family val="2"/>
          </rPr>
          <t xml:space="preserve"> ist ein Vermögen dann, wenn sein Geldwert durch Verbrauch, Übertragung, Beleihung, Vermietung oder Verpachtung für den Lebensunterhalt genutzt werden kann. Ist ein sofortiger Zugriff auf berücksichtigungsfähige Vermögenswerte nicht möglich, können gegebenenfalls Leistungen in Form von Darlehen nach Maßgabe des § 9 Abs.4 SGB II gewährt
werden.</t>
        </r>
        <r>
          <rPr>
            <b/>
            <sz val="8"/>
            <rFont val="Tahoma"/>
            <family val="0"/>
          </rPr>
          <t xml:space="preserve">
nicht verwertbar sind:</t>
        </r>
        <r>
          <rPr>
            <sz val="8"/>
            <rFont val="Tahoma"/>
            <family val="0"/>
          </rPr>
          <t xml:space="preserve">
</t>
        </r>
        <r>
          <rPr>
            <b/>
            <sz val="8"/>
            <rFont val="Tahoma"/>
            <family val="2"/>
          </rPr>
          <t xml:space="preserve">1. </t>
        </r>
        <r>
          <rPr>
            <sz val="8"/>
            <rFont val="Tahoma"/>
            <family val="0"/>
          </rPr>
          <t xml:space="preserve">Vermögensgegenstände, über die der Inhaber nicht frei verfügen darf (z.B. bei Insolvenz, Beschlagnahme, Verpfändung).
</t>
        </r>
        <r>
          <rPr>
            <b/>
            <sz val="8"/>
            <rFont val="Tahoma"/>
            <family val="2"/>
          </rPr>
          <t xml:space="preserve">2. </t>
        </r>
        <r>
          <rPr>
            <sz val="8"/>
            <rFont val="Tahoma"/>
            <family val="0"/>
          </rPr>
          <t xml:space="preserve">Ansprüche aus betrieblicher Altersversorgung in Form einer Direktversicherung
</t>
        </r>
        <r>
          <rPr>
            <b/>
            <sz val="8"/>
            <rFont val="Tahoma"/>
            <family val="2"/>
          </rPr>
          <t>3.</t>
        </r>
        <r>
          <rPr>
            <sz val="8"/>
            <rFont val="Tahoma"/>
            <family val="0"/>
          </rPr>
          <t xml:space="preserve"> Ansprüche auf eine persönliche Leibrente (sog. Rürup-Rente) nach § 10 Abs. 1 Nr. 2b EStG 
</t>
        </r>
        <r>
          <rPr>
            <b/>
            <sz val="8"/>
            <rFont val="Tahoma"/>
            <family val="2"/>
          </rPr>
          <t xml:space="preserve">4. </t>
        </r>
        <r>
          <rPr>
            <sz val="8"/>
            <rFont val="Tahoma"/>
            <family val="2"/>
          </rPr>
          <t xml:space="preserve">i.d.R. </t>
        </r>
        <r>
          <rPr>
            <sz val="8"/>
            <rFont val="Tahoma"/>
            <family val="0"/>
          </rPr>
          <t>Kleingärten nach dem Bundeskleingartengesetz einschließlich der Lauben (gemäß § 3 Abs. 2 dieses Gesetzes)</t>
        </r>
      </text>
    </comment>
    <comment ref="C1" authorId="0">
      <text>
        <r>
          <rPr>
            <sz val="8"/>
            <rFont val="Tahoma"/>
            <family val="2"/>
          </rPr>
          <t xml:space="preserve">Als Vermögen sind </t>
        </r>
        <r>
          <rPr>
            <u val="single"/>
            <sz val="8"/>
            <rFont val="Tahoma"/>
            <family val="2"/>
          </rPr>
          <t>alle</t>
        </r>
        <r>
          <rPr>
            <sz val="8"/>
            <rFont val="Tahoma"/>
            <family val="2"/>
          </rPr>
          <t xml:space="preserve"> verwertbaren Vermögensgegenstände zu berücksichtigen (Grundsatz in § 12 I). Ausschließlich nicht zum Vermögen gehören die in § 12 III genannten Vermögensgegenstände. Näheres ergibt sich der Verordnung zu § 13.
</t>
        </r>
        <r>
          <rPr>
            <b/>
            <sz val="8"/>
            <rFont val="Tahoma"/>
            <family val="2"/>
          </rPr>
          <t>Vermögen</t>
        </r>
        <r>
          <rPr>
            <sz val="8"/>
            <rFont val="Tahoma"/>
            <family val="2"/>
          </rPr>
          <t xml:space="preserve"> i. S. des § 12 Abs. 1 ist die Gesamtheit (Bestand) der in Geld messbaren Güter einer Person. Zum Vermögen gehören: Geld und Geldeswerte, z. B. Bargeld (gesetzliche Zahlungsmittel)
und Schecks, sonstige Sachen, unbewegliche Sachen, wie z. B. bebaute und unbebaute Grundstücke und bewegliche Sachen, wie z.B. Schmuckstücke, Gemälde und Möbel, auf Geld gerichtete Forderungen, sonstige Rechte, wie Rechte aus Wechseln, Aktien und anderen
Gesellschaftsanteilen, Rechte aus Grundschulden, Nießbrauch, Dienstbarkeiten, Altenteil, auch Urheberrechte, soweit es sich bei der Nutzung um ein in Geld schätzbares Gut handelt.
</t>
        </r>
        <r>
          <rPr>
            <sz val="8"/>
            <rFont val="Tahoma"/>
            <family val="0"/>
          </rPr>
          <t xml:space="preserve">
</t>
        </r>
      </text>
    </comment>
    <comment ref="B28" authorId="1">
      <text>
        <r>
          <rPr>
            <sz val="8"/>
            <rFont val="Tahoma"/>
            <family val="2"/>
          </rPr>
          <t>Der jeweilige Freibetrag, der dem Hilfebedürftigen und dessen Partner eingeräumt wird wird addiert und dem vorhandenen Vermögen/ Vermögenswert gegenüber gestellt, unabhängig davon, wer von den beiden Inhaber dieses Vermögens/Vermögenswertes ist.</t>
        </r>
        <r>
          <rPr>
            <sz val="8"/>
            <rFont val="Tahoma"/>
            <family val="0"/>
          </rPr>
          <t xml:space="preserve">
</t>
        </r>
      </text>
    </comment>
    <comment ref="B27" authorId="1">
      <text>
        <r>
          <rPr>
            <sz val="8"/>
            <rFont val="Tahoma"/>
            <family val="2"/>
          </rPr>
          <t>Freibeträge, die einem Kind eingeräumt werden, sind ausschließlich dessen eigenem Vermögen zuzuordnen. Eine Übertragung nicht ausgeschöpfter Freibeträge der Eltern auf das Vermögen der Kinder bzw. nicht ausgeschöpfter Freibeträge von Kindern auf das Vermögen der Eltern ist nicht möglich.</t>
        </r>
        <r>
          <rPr>
            <sz val="8"/>
            <rFont val="Tahoma"/>
            <family val="0"/>
          </rPr>
          <t xml:space="preserve">
</t>
        </r>
      </text>
    </comment>
    <comment ref="B26" authorId="1">
      <text>
        <r>
          <rPr>
            <sz val="8"/>
            <rFont val="Tahoma"/>
            <family val="2"/>
          </rPr>
          <t>Das Vermögen bis 750 € ist für notwendige Anschaffungen (z.B. Haushaltsgeräte, Winterbekleidung…) einzusetzen.</t>
        </r>
        <r>
          <rPr>
            <sz val="8"/>
            <rFont val="Tahoma"/>
            <family val="0"/>
          </rPr>
          <t xml:space="preserve">
</t>
        </r>
      </text>
    </comment>
  </commentList>
</comments>
</file>

<file path=xl/comments6.xml><?xml version="1.0" encoding="utf-8"?>
<comments xmlns="http://schemas.openxmlformats.org/spreadsheetml/2006/main">
  <authors>
    <author>Brinkmann</author>
  </authors>
  <commentList>
    <comment ref="H30" authorId="0">
      <text>
        <r>
          <rPr>
            <sz val="8"/>
            <rFont val="Tahoma"/>
            <family val="2"/>
          </rPr>
          <t>Der Existenzbericht für das Jahr 2005 nennt folgende auf den Monat umgerechnete Kosten:
                     Alleinstehende     Ehepaare       Kinder 
Unterkunft         216 Euro          322 Euro        67 Euro
Heizung               50 Euro           64 Euro         13 Euro
(Danke an Herrn Ministerialrat Helmke vom BMFSFJ)</t>
        </r>
        <r>
          <rPr>
            <sz val="8"/>
            <rFont val="Tahoma"/>
            <family val="0"/>
          </rPr>
          <t xml:space="preserve">
</t>
        </r>
      </text>
    </comment>
    <comment ref="F79" authorId="0">
      <text>
        <r>
          <rPr>
            <sz val="8"/>
            <rFont val="Tahoma"/>
            <family val="2"/>
          </rPr>
          <t>Betrag erscheint nur, wenn der untere Grenzbetrag weder unterschritten noch der obere Grenzbetrag überschritten wird!</t>
        </r>
        <r>
          <rPr>
            <sz val="8"/>
            <rFont val="Tahoma"/>
            <family val="0"/>
          </rPr>
          <t xml:space="preserve">
</t>
        </r>
      </text>
    </comment>
    <comment ref="E6" authorId="0">
      <text>
        <r>
          <rPr>
            <sz val="8"/>
            <rFont val="Tahoma"/>
            <family val="2"/>
          </rPr>
          <t>Ergebnis in diesem Feld ist abhängig von der Eingabe des Kindergeldes im Arbeitsblatt "Einkommen"</t>
        </r>
        <r>
          <rPr>
            <sz val="8"/>
            <rFont val="Tahoma"/>
            <family val="0"/>
          </rPr>
          <t xml:space="preserve">
</t>
        </r>
      </text>
    </comment>
    <comment ref="E7" authorId="0">
      <text>
        <r>
          <rPr>
            <sz val="8"/>
            <rFont val="Tahoma"/>
            <family val="0"/>
          </rPr>
          <t>Es können auch Kinder berücksichtigt werden, für die kein Kindergeld  ausgezahlt wird, weil ein Anspruch auf andere Leistungen besteht. So kann ein Rentenzuschuss für Kinder (allerdings nur noch sehr selten als uralte Bestandsfälle) das Kindergeld mindern. Aber es kann durchaus nach den EG-Vorschriften ein vorrangiger Anspruch auf Kindergeld in einem anderen EG-Land bestehen.
ggf. mit "Entf" löschen, Eingabe von "0" wird gewertet</t>
        </r>
      </text>
    </comment>
    <comment ref="F57" authorId="0">
      <text>
        <r>
          <rPr>
            <sz val="8"/>
            <rFont val="Tahoma"/>
            <family val="2"/>
          </rPr>
          <t>Betrag erscheint nur, wenn das Nichterwerbseinkommen/Vermögen größer als der untere Grenzbetrag ist.</t>
        </r>
        <r>
          <rPr>
            <sz val="8"/>
            <rFont val="Tahoma"/>
            <family val="0"/>
          </rPr>
          <t xml:space="preserve">
</t>
        </r>
      </text>
    </comment>
    <comment ref="B2" authorId="0">
      <text>
        <r>
          <rPr>
            <b/>
            <sz val="8"/>
            <rFont val="Tahoma"/>
            <family val="2"/>
          </rPr>
          <t>Bundeskindergeldgesetz (BKGG) § 6a Kinderzuschlag</t>
        </r>
        <r>
          <rPr>
            <sz val="8"/>
            <rFont val="Tahoma"/>
            <family val="2"/>
          </rPr>
          <t xml:space="preserve">
</t>
        </r>
        <r>
          <rPr>
            <b/>
            <sz val="8"/>
            <rFont val="Tahoma"/>
            <family val="2"/>
          </rPr>
          <t>(1)</t>
        </r>
        <r>
          <rPr>
            <sz val="8"/>
            <rFont val="Tahoma"/>
            <family val="2"/>
          </rPr>
          <t xml:space="preserve"> Personen erhalten nach diesem Gesetz für in ihrem Haushalt lebende Kinder, die noch nicht das 18. Lebensjahr vollendet haben, einen Kinderzuschlag, wenn 
1. sie für diese Kinder nach diesem Gesetz oder dem X. Abschnitt des Einkommensteuergesetzes Anspruch auf Kindergeld oder Anspruch auf andere Leistungen im Sinne von § 4 haben,
2. sie mit Ausnahme des Wohngeldes über Einkommen oder Vermögen im Sinne der §§ 11, 12 des Zweiten Buches Sozialgesetzbuch mindestens in Höhe des nach Absatz 4 Satz 1 für sie maßgebenden Betrages und höchstens in
Höhe der Summe aus diesem Betrag und dem Gesamtkinderzuschlag nach Absatz 2 verfügen und 
3. durch den Kinderzuschlag Hilfebedürftigkeit nach § 9 des Zweiten Buches Sozialgesetzbuch vermieden wird.
</t>
        </r>
        <r>
          <rPr>
            <b/>
            <sz val="8"/>
            <rFont val="Tahoma"/>
            <family val="2"/>
          </rPr>
          <t xml:space="preserve">(2) </t>
        </r>
        <r>
          <rPr>
            <sz val="8"/>
            <rFont val="Tahoma"/>
            <family val="2"/>
          </rPr>
          <t xml:space="preserve">Der Kinderzuschlag beträgt für jedes zu berücksichtigende Kind bis zu 140 Euro monatlich. Die Summe der Kinderzuschläge bildet den Gesamtkinderzuschlag. Der Gesamtkinderzuschlag wird längstens für insgesamt 36 Monate gezahlt.
</t>
        </r>
        <r>
          <rPr>
            <b/>
            <sz val="8"/>
            <rFont val="Tahoma"/>
            <family val="2"/>
          </rPr>
          <t>(3)</t>
        </r>
        <r>
          <rPr>
            <sz val="8"/>
            <rFont val="Tahoma"/>
            <family val="2"/>
          </rPr>
          <t xml:space="preserve"> Der Kinderzuschlag mindert sich um das nach den §§ 11 und 12 des Zweiten Buches Sozialgesetzbuch mit Ausnahme des Wohngeldes zu berücksichtigende Einkommen und Vermögen des Kindes. Hierbei bleibt das Kindergeld außer Betracht.
</t>
        </r>
        <r>
          <rPr>
            <b/>
            <sz val="8"/>
            <rFont val="Tahoma"/>
            <family val="2"/>
          </rPr>
          <t>(4)</t>
        </r>
        <r>
          <rPr>
            <sz val="8"/>
            <rFont val="Tahoma"/>
            <family val="2"/>
          </rPr>
          <t xml:space="preserve"> Der Kinderzuschlag wird, soweit die Voraussetzungen des Absatzes 3 nicht vorliegen, in voller Höhe gezahlt, wenn das nach den §§ 11 und 12 des Zweiten Buches Sozialgesetzbuch mit Ausnahme des Wohngeldes zu berücksichtigende elterliche Einkommen oder Vermögen einem Betrag in Höhe des ohne Berücksichtigung von Kindern jeweils maßgebenden Arbeitslosengeldes II nach § 19 Satz 1 Nr. 1 des Zweiten Buches Sozialgesetzbuch oder des Sozialgeldes nach § 28 Abs. 1 des Zweiten Buches Sozialgesetzbuch entspricht. Dazu sind die Kosten für Unterkunft und Heizung in dem Verhältnis aufzuteilen, das sich aus den im jeweils letzten Bericht der Bundesregierung über das Existenzminimum von Familien und Kindern festgestellten entsprechenden Kosten für Alleinstehende, Ehepaare und Kinder ergibt. Der Kinderzuschlag wird außer in den in Absatz 3 genannten Fällen auch dann stufenweise gemindert, wenn das nach den §§ 11 und 12 des Zweiten Buches Sozialgesetzbuch mit Ausnahme des Wohngeldes zu berücksichtigende elterliche Einkommen oder Vermögen den in Satz 1 genannten jeweils maßgebenden Betrag übersteigt. Als elterliches Einkommen oder Vermögen gilt dabei dasjenige des mit dem Kind im gemeinsamen Haushalt lebenden allein erziehenden Elternteils, Ehepaares oder als eingetragene Lebenspartner oder in einer eheähnlichen Gemeinschaft zusammenlebenden Paares. Soweit das zu berücksichtigende elterliche Einkommen nicht nur aus Erwerbseinkünften besteht, ist davon auszugehen, dass die Überschreitung des in Satz 1 genannten jeweils maßgebenden Betrages durch die Erwerbseinkünfte verursacht wird, wenn nicht die Summe der anderen Einkommensteile oder des Vermögens für sich genommen diesen maßgebenden Betrag übersteigt. Für je 10 Euro, um die die monatlichen Erwerbseinkünfte den maßgebenden Betrag übersteigen, wird der Kinderzuschlag um 7 Euro monatlich gemindert. Anderes Einkommen sowie Vermögen mindern den Kinderzuschlag in voller Höhe. Kommt die Minderung des für mehrere Kinder zu zahlenden Kinderzuschlags in Betracht, wird sie beim Gesamtkinderzuschlag vorgenommen.</t>
        </r>
        <r>
          <rPr>
            <sz val="8"/>
            <rFont val="Tahoma"/>
            <family val="0"/>
          </rPr>
          <t xml:space="preserve">
</t>
        </r>
      </text>
    </comment>
  </commentList>
</comments>
</file>

<file path=xl/comments7.xml><?xml version="1.0" encoding="utf-8"?>
<comments xmlns="http://schemas.openxmlformats.org/spreadsheetml/2006/main">
  <authors>
    <author>XYZ</author>
    <author>Brinkmann</author>
    <author>(:-XX)</author>
  </authors>
  <commentList>
    <comment ref="B16" authorId="0">
      <text>
        <r>
          <rPr>
            <sz val="8"/>
            <rFont val="Tahoma"/>
            <family val="0"/>
          </rPr>
          <t xml:space="preserve">Wenn die Voraussetzungen für eine Kürzung um 30% (§ 31 I) oder 10% (§ 31 II) vorliegen, hat der zuständige Träger kein Ermessen, die Kürzung muss erfolgen. Ggf. erhöhen sich die Kürzungssätze noch bei wiederholter Pflichtverletzung um den gleichen Prozentsatz. Die Kürzung dauert nach § 31 VI S. 2 3 Monate (kein Ermessen).
</t>
        </r>
      </text>
    </comment>
    <comment ref="B15" authorId="0">
      <text>
        <r>
          <rPr>
            <sz val="8"/>
            <rFont val="Tahoma"/>
            <family val="0"/>
          </rPr>
          <t xml:space="preserve">Wenn die in § 31 I bis V genannten Voraussetzungen vorliegen, können die Leistungen stufenweise abgesenkt werden oder gar ganz wegfallen. Der jeweilige gesamte Prozentsatz ist in dieser Zeile bei der jeweiligen Person einzutragen. Bei jüngeren erwerbsfähigen Hilfebeürftigen (15 bis 24 Jahre alt) werden nur noch die Leistungen nach § 22 (Unterkunft und Heizung) an den Vermieter gezahlt, wenn eine Pflichtverletzung nach § 31 I bis IV begangen wurde.
</t>
        </r>
      </text>
    </comment>
    <comment ref="B17" authorId="0">
      <text>
        <r>
          <rPr>
            <sz val="8"/>
            <rFont val="Tahoma"/>
            <family val="2"/>
          </rPr>
          <t xml:space="preserve">Eine Kürzung der Leistungen nach §§ 21 bis 23 </t>
        </r>
        <r>
          <rPr>
            <u val="single"/>
            <sz val="8"/>
            <rFont val="Tahoma"/>
            <family val="2"/>
          </rPr>
          <t>kann</t>
        </r>
        <r>
          <rPr>
            <sz val="8"/>
            <rFont val="Tahoma"/>
            <family val="2"/>
          </rPr>
          <t xml:space="preserve"> gem. § 31 III S. 2 erst bei wiederholter Pflichtverletzung erfolgen (Ermessensentscheidung).</t>
        </r>
        <r>
          <rPr>
            <sz val="8"/>
            <rFont val="Tahoma"/>
            <family val="0"/>
          </rPr>
          <t xml:space="preserve">
</t>
        </r>
      </text>
    </comment>
    <comment ref="B18" authorId="0">
      <text>
        <r>
          <rPr>
            <sz val="8"/>
            <rFont val="Tahoma"/>
            <family val="2"/>
          </rPr>
          <t xml:space="preserve">Eine Kürzung der Leistungen nach §§ 21 bis 23 </t>
        </r>
        <r>
          <rPr>
            <u val="single"/>
            <sz val="8"/>
            <rFont val="Tahoma"/>
            <family val="2"/>
          </rPr>
          <t>kann</t>
        </r>
        <r>
          <rPr>
            <sz val="8"/>
            <rFont val="Tahoma"/>
            <family val="2"/>
          </rPr>
          <t xml:space="preserve"> gem. § 31 III S. 2 erst bei wiederholter Pflichtverletzung erfolgen (Ermessensentscheidung).</t>
        </r>
        <r>
          <rPr>
            <sz val="8"/>
            <rFont val="Tahoma"/>
            <family val="0"/>
          </rPr>
          <t xml:space="preserve">
</t>
        </r>
      </text>
    </comment>
    <comment ref="C29" authorId="0">
      <text>
        <r>
          <rPr>
            <sz val="8"/>
            <rFont val="Tahoma"/>
            <family val="2"/>
          </rPr>
          <t>Ist in einer Bedarfsgemeinschaft nicht der gesamte Bedarf aus eigenen Kräften und Mitteln gedeckt, gilt jede Person der Bedarfsgemeinschaft im Verhältnis des eigenen Bedarfs zum Gesamtbedarf als hilfebürftig (9 II S. 3)</t>
        </r>
        <r>
          <rPr>
            <sz val="8"/>
            <rFont val="Tahoma"/>
            <family val="0"/>
          </rPr>
          <t xml:space="preserve">
</t>
        </r>
      </text>
    </comment>
    <comment ref="C36" authorId="0">
      <text>
        <r>
          <rPr>
            <sz val="8"/>
            <rFont val="Tahoma"/>
            <family val="2"/>
          </rPr>
          <t>Die Überschüsse werden entsprechend dem Grad der Hilfebedürftigkeit der jeweiligen Person zugeordnet.
Beispiel: Verteilungsmasse gesamt 600 Euro x 15% Anteil am Gesamtbedarf = 90 Euro auf diese Person entfallendes überschüssiges Einkommen.</t>
        </r>
        <r>
          <rPr>
            <sz val="8"/>
            <rFont val="Tahoma"/>
            <family val="0"/>
          </rPr>
          <t xml:space="preserve">
</t>
        </r>
      </text>
    </comment>
    <comment ref="E52" authorId="0">
      <text>
        <r>
          <rPr>
            <sz val="8"/>
            <rFont val="Tahoma"/>
            <family val="2"/>
          </rPr>
          <t>Rundung gem. § 41 II</t>
        </r>
        <r>
          <rPr>
            <sz val="8"/>
            <rFont val="Tahoma"/>
            <family val="0"/>
          </rPr>
          <t xml:space="preserve">
</t>
        </r>
      </text>
    </comment>
    <comment ref="E51" authorId="1">
      <text>
        <r>
          <rPr>
            <sz val="8"/>
            <rFont val="Tahoma"/>
            <family val="2"/>
          </rPr>
          <t>Empfänger der Grundsicherung für Arbeitsuchende erhalten künftig die angemessenen Unterkunftskosten vollständig durch die Transferleistung.</t>
        </r>
        <r>
          <rPr>
            <sz val="8"/>
            <rFont val="Tahoma"/>
            <family val="0"/>
          </rPr>
          <t xml:space="preserve">
</t>
        </r>
      </text>
    </comment>
    <comment ref="D26" authorId="1">
      <text>
        <r>
          <rPr>
            <sz val="8"/>
            <rFont val="Tahoma"/>
            <family val="2"/>
          </rPr>
          <t>gesamtes Vermögen der (Ehe-)Partner</t>
        </r>
        <r>
          <rPr>
            <sz val="8"/>
            <rFont val="Tahoma"/>
            <family val="0"/>
          </rPr>
          <t xml:space="preserve">
</t>
        </r>
      </text>
    </comment>
    <comment ref="C34" authorId="2">
      <text>
        <r>
          <rPr>
            <sz val="8"/>
            <rFont val="Tahoma"/>
            <family val="2"/>
          </rPr>
          <t>Der den Eigenbedarf des Kindes ggf. überschreitende Betrag  aus dem auf das Kind entfallenden Kindergeld ist als Einkommen bei dem Kindergeldberechtigten (den Eltern) anzurechnen, so dass diese Anteile auch den evtl. übrigen hilfebedürftigen Kindern letztlich zugute kommen (§ 11 Abs. 1 Satz 3)</t>
        </r>
        <r>
          <rPr>
            <sz val="8"/>
            <rFont val="Tahoma"/>
            <family val="0"/>
          </rPr>
          <t xml:space="preserve">
</t>
        </r>
      </text>
    </comment>
  </commentList>
</comments>
</file>

<file path=xl/comments8.xml><?xml version="1.0" encoding="utf-8"?>
<comments xmlns="http://schemas.openxmlformats.org/spreadsheetml/2006/main">
  <authors>
    <author>XYZ</author>
    <author>BRINKM????N - THE ONE AND ONLY</author>
  </authors>
  <commentList>
    <comment ref="B40" authorId="0">
      <text>
        <r>
          <rPr>
            <sz val="8"/>
            <rFont val="Tahoma"/>
            <family val="0"/>
          </rPr>
          <t>Das Bundesministerium kann durch Verordnung nach § 27 Näheres zur Angemessenheit von Unterkunft und Heizung regeln. Eine derartige VO ist aber vom Ministerium vorerst nicht geplant. Folglich orientiert sich die Angemessenheit an der bisherigen Praxis der Sozialhilfeträger.
Die angemessene Grundfläche einer Wohnung oder eines Einfamilien-Hauses orientiert sich an den Kriterien der Förderwürdigkeit im sozialen Wohnungsbau entsprechend den Verwaltungsvorschriften der Länder zum Wohnungsbindungsgesetz. Die Wohnungsgröße ist danach in der Regel angemessen, wenn sie es ermöglicht, dass auf jedes Familienmitglied ein Wohnraum ausreichender Größe entfällt. Darüber hinaus sind auch besondere persönliche und berufliche Bedürfnisse des Wohnberechtigten und seiner Angehörigen sowie der nach der Lebenserfahrung in absehbarer Zeit zu erwartende zusätzliche Raumbedarf zu berücksichtigen. Die Werte sind Durchschnittswerte, die das Ministerium mit Pressemitteilung vom 28.07.2004 bekanntgegeben hat.
In manchen Ländern ist geregelt, dass sich die angemessene Wohnfläche darüber hinaus für Alleinerziehende und für jeden schwerbehinderten Menschen um jeweils weitere 10 qm erhöht (z.B. für Niedersachsen RdErl. MS v. 27. 6. 2003, Nds.MBl. S. 580).</t>
        </r>
      </text>
    </comment>
    <comment ref="B60" authorId="0">
      <text>
        <r>
          <rPr>
            <sz val="8"/>
            <rFont val="Tahoma"/>
            <family val="2"/>
          </rPr>
          <t>Das Bundesministerium kann durch Verordnung nach § 27 Näheres zur Angemessenheit von Unterkunft und Heizung regeln.
Hier wurde ein Wert von 1,00 Euro entsprechend der Rechtsprechung des OVG Lüneburg in Sozialhilfesachen genommen.</t>
        </r>
        <r>
          <rPr>
            <sz val="8"/>
            <rFont val="Tahoma"/>
            <family val="0"/>
          </rPr>
          <t xml:space="preserve">
</t>
        </r>
      </text>
    </comment>
    <comment ref="B17" authorId="0">
      <text>
        <r>
          <rPr>
            <sz val="8"/>
            <rFont val="Tahoma"/>
            <family val="2"/>
          </rPr>
          <t>Siehe Empfehlungen des Deutschen Vereins, Heft 48 der Kleineren Schriften (Auflage 1997). Die Werte werden von den Sozialämtern für die Bestimmung der angemessenen Beträge meistens herangezogen (DM-Beträge spitz umgerechnet).</t>
        </r>
        <r>
          <rPr>
            <sz val="8"/>
            <rFont val="Tahoma"/>
            <family val="0"/>
          </rPr>
          <t xml:space="preserve">
</t>
        </r>
      </text>
    </comment>
    <comment ref="B38" authorId="0">
      <text>
        <r>
          <rPr>
            <sz val="8"/>
            <rFont val="Tahoma"/>
            <family val="2"/>
          </rPr>
          <t>Text überschreiben und eigenen Betrag eingeben</t>
        </r>
        <r>
          <rPr>
            <sz val="8"/>
            <rFont val="Tahoma"/>
            <family val="0"/>
          </rPr>
          <t xml:space="preserve">
</t>
        </r>
      </text>
    </comment>
    <comment ref="E40" authorId="1">
      <text>
        <r>
          <rPr>
            <sz val="8"/>
            <rFont val="Tahoma"/>
            <family val="2"/>
          </rPr>
          <t>Hinsichtlich der näheren Regelungen, welche Aufwendungen für Unterkunft und Heizung angemessen sind und unter welchen Voraussetzungen die Kosten für Unterkunt und Heizung pauschaliert werden können, ermächtigt das SGB II (§ 27 Nr. 1 SGB II) das Bundesministerium für Wirtschaft und Arbeit zum Erlass einer Rechtsverordnung. Derzeit beabsichtigt das Ministerium aber nicht, eine solche Verordnung zu erlassen, sondern überlässt die Beurteilung der Angemessenheit den Kommunen, die zu dieser Frage auch schon bei ihrer Zuständigkeit für die Sozialhilfe Erfahrungen gesammelt haben.
Die Angemessenheit der Kosten der Unterkunft richtet sich nach den individuellen Verhältnissen des Einzelfalles (Lebensumstände), insbesondere nach der Zahl der Familienangehörigen, nach ihrem Alter, Geschlecht und ihrem Gesundheitszustand. Neben den individuellen Verhältnissen des Arbeitssuchenden und seiner Angehörigen sind darüber hinaus die Zahl der vorhandenen Räume, das örtliche Mietniveau und die Möglichkeiten des örtlichen Wohnungsmarktes zu berücksichtigen. Der angemessene Preis je qm bestimmt sich nach demjenigen vergleichbarer Wohnungen im unteren Bereich am Wohnort und lässt sich insbesondere örtlichen Mietspiegeln entnehmen.
Existiert kein Mietspiegel, orientiert sich die Angemessenheit in der Regel an den Mietstufen im Wohngeldgesetz. Im Gesetz sind 6 Mietstufen festgelegt. Die Zugehörigkeit einer Gemeinde richtet sich nach dem örtlichen Mietenniveau.
Zu welcher Mietstufe Ihr Wohnort gehört, erfahren Sie bei der für Sie zuständigen Wohngeldstelle (meistens Gemeinde-/Stadtverwaltung) oder Sie laden sich eine Liste der Mietstufen der Gemeinden aus dem Internet herunter. Adresse: 
http://www.bmvbw.de/Anlage6952/Liste-der-Mietstufen-der-Gemeinden-ab-1.1.2002-fuer-alte-und-neue-Laender.pdf</t>
        </r>
        <r>
          <rPr>
            <sz val="8"/>
            <rFont val="Tahoma"/>
            <family val="0"/>
          </rPr>
          <t xml:space="preserve">
 </t>
        </r>
      </text>
    </comment>
  </commentList>
</comments>
</file>

<file path=xl/sharedStrings.xml><?xml version="1.0" encoding="utf-8"?>
<sst xmlns="http://schemas.openxmlformats.org/spreadsheetml/2006/main" count="632" uniqueCount="494">
  <si>
    <t>Antragsteller</t>
  </si>
  <si>
    <t>Partner</t>
  </si>
  <si>
    <t>neue Bundesländer</t>
  </si>
  <si>
    <t>A)</t>
  </si>
  <si>
    <t>B)</t>
  </si>
  <si>
    <t>Name:</t>
  </si>
  <si>
    <t>C)</t>
  </si>
  <si>
    <t>- 1 Kind unter 7 Jahren od. 2 oder 3 Kinder unter 16 J.</t>
  </si>
  <si>
    <t>- oder für jedes Kind 12%</t>
  </si>
  <si>
    <t>D)</t>
  </si>
  <si>
    <t>Mehrbedarfstatbestände wegen kostenaufwändiger Ernährung</t>
  </si>
  <si>
    <t>€</t>
  </si>
  <si>
    <t>HIV-Infektion, AIDS</t>
  </si>
  <si>
    <t>(eigene Festsetzung)</t>
  </si>
  <si>
    <t>Summe des Mehrbedarfs insgesamt:</t>
  </si>
  <si>
    <t>angemessene Wohnfläche:</t>
  </si>
  <si>
    <t>Personen</t>
  </si>
  <si>
    <t>angemessene Wohnfl.</t>
  </si>
  <si>
    <t>max. qm</t>
  </si>
  <si>
    <t>Heizkostenpauschale</t>
  </si>
  <si>
    <t>max. Betrag</t>
  </si>
  <si>
    <t>je qm</t>
  </si>
  <si>
    <t>Befristeter Zuschlag nach Bezug von Arbeitslosengeld (§ 24)</t>
  </si>
  <si>
    <t>Summe</t>
  </si>
  <si>
    <t>zuletzt erhaltenes Wohngeld</t>
  </si>
  <si>
    <t>zu zahlendes Arbeitslosengeld II (Hilfebedürftiger)</t>
  </si>
  <si>
    <t>Unterschiedsbetrag</t>
  </si>
  <si>
    <t>Höhe des Zuschlages</t>
  </si>
  <si>
    <t>Höchstbetrag:</t>
  </si>
  <si>
    <t>160 Euro bei erwerbsfähigen Hilfebedürftigen</t>
  </si>
  <si>
    <t>60 Euro je minderjährigem Kind</t>
  </si>
  <si>
    <t>Höchstbetrag gesamt:</t>
  </si>
  <si>
    <r>
      <t xml:space="preserve">im </t>
    </r>
    <r>
      <rPr>
        <u val="single"/>
        <sz val="10"/>
        <rFont val="Arial"/>
        <family val="2"/>
      </rPr>
      <t>ersten</t>
    </r>
    <r>
      <rPr>
        <sz val="10"/>
        <rFont val="Arial"/>
        <family val="0"/>
      </rPr>
      <t xml:space="preserve"> Jahr nach Bezug von Arbeitslosengeld</t>
    </r>
  </si>
  <si>
    <r>
      <t xml:space="preserve">im </t>
    </r>
    <r>
      <rPr>
        <u val="single"/>
        <sz val="10"/>
        <rFont val="Arial"/>
        <family val="2"/>
      </rPr>
      <t>zweiten</t>
    </r>
    <r>
      <rPr>
        <sz val="10"/>
        <rFont val="Arial"/>
        <family val="0"/>
      </rPr>
      <t xml:space="preserve"> Jahr nach Bezug von Arbeitslosengeld</t>
    </r>
  </si>
  <si>
    <t>maßgeblicher Zuschlag</t>
  </si>
  <si>
    <t>E)</t>
  </si>
  <si>
    <t>Zuschuss zu Beiträgen bei Befreiung von der Versicherungspflicht (§ 26)</t>
  </si>
  <si>
    <t>Name</t>
  </si>
  <si>
    <t>Zuschuss</t>
  </si>
  <si>
    <t>Alg II</t>
  </si>
  <si>
    <t>max. in Höhe des Betragssatzes nach § 55 Abs. 1 S. 1 SGB XI</t>
  </si>
  <si>
    <t>Sozialgeld</t>
  </si>
  <si>
    <t>Alter:</t>
  </si>
  <si>
    <t>Hyperlipidämie</t>
  </si>
  <si>
    <t>Hyperurikämie</t>
  </si>
  <si>
    <t>Gicht</t>
  </si>
  <si>
    <t>Leberinsuffizienz</t>
  </si>
  <si>
    <t>Niereninsuffizienz</t>
  </si>
  <si>
    <t>Niereninsuffizienz, Hämodialyse beh.</t>
  </si>
  <si>
    <t>Hypertonie</t>
  </si>
  <si>
    <t>kardiale und renale Ödeme</t>
  </si>
  <si>
    <t>Zöliakie, Sprue</t>
  </si>
  <si>
    <t>Diabetes mellitus Typ I</t>
  </si>
  <si>
    <t>Diabetes mellitus Typ II a</t>
  </si>
  <si>
    <t>Colitus ulcerosa</t>
  </si>
  <si>
    <t>Morbus Crohn</t>
  </si>
  <si>
    <t>Ulcus duodeni</t>
  </si>
  <si>
    <t>Ulcus ventriculi</t>
  </si>
  <si>
    <t>Krebs</t>
  </si>
  <si>
    <t>Multiple Sklerose</t>
  </si>
  <si>
    <t>Neurodermitis</t>
  </si>
  <si>
    <t>Sonstiges:</t>
  </si>
  <si>
    <t>Zu berücksichtigendes Einkommen (§ 11)</t>
  </si>
  <si>
    <t>Unterhalt</t>
  </si>
  <si>
    <t>Unterhaltsvorschuss</t>
  </si>
  <si>
    <t>Vermietung/Verpachtung</t>
  </si>
  <si>
    <t>Absetzungen (§ 11 II)</t>
  </si>
  <si>
    <t>Freibetrag Erwerbstätigkeit</t>
  </si>
  <si>
    <t>Absetzungen gesamt:</t>
  </si>
  <si>
    <t>bereinigtes Einkommen:</t>
  </si>
  <si>
    <t>Rückkaufswert Lebensversicherung</t>
  </si>
  <si>
    <t>Bausparguthaben</t>
  </si>
  <si>
    <t>Sonstiges Vermögen:</t>
  </si>
  <si>
    <t>gesamtes Vermögen:</t>
  </si>
  <si>
    <t>Zu berücksichtigendes, verwertbares Vermögen (§ 12)</t>
  </si>
  <si>
    <t>geldwerte Ansprüche Altersvorsorge</t>
  </si>
  <si>
    <t>gesamte Absetzungen:</t>
  </si>
  <si>
    <t>Vermögen nach Absetzung:</t>
  </si>
  <si>
    <t>Berechnung des Anspruchs</t>
  </si>
  <si>
    <t>A) Bedarf</t>
  </si>
  <si>
    <t>Zuschlag nach § 24</t>
  </si>
  <si>
    <t>Regelleistungen (§ 20)</t>
  </si>
  <si>
    <t>Mehrbedarf (§ 21)</t>
  </si>
  <si>
    <t>Wegfall Zuschlag nach § 24</t>
  </si>
  <si>
    <t>gesamter Bedarf:</t>
  </si>
  <si>
    <t>Kürzung MB</t>
  </si>
  <si>
    <t>Kürzung KdU</t>
  </si>
  <si>
    <t>gesamter Kürzungsbetrag:</t>
  </si>
  <si>
    <t>verbleibender Bedarf:</t>
  </si>
  <si>
    <t>+ Zuschüsse nach § 26</t>
  </si>
  <si>
    <t>Anteil in % am Gesamtbedarf:</t>
  </si>
  <si>
    <t>Restbedarf = Anspruch:</t>
  </si>
  <si>
    <t>A</t>
  </si>
  <si>
    <t>B</t>
  </si>
  <si>
    <t>C</t>
  </si>
  <si>
    <t>D</t>
  </si>
  <si>
    <t>davon Erwerbseinkommen (bereinigt):</t>
  </si>
  <si>
    <t>E</t>
  </si>
  <si>
    <t>Sinne von § 4 BKKG besteht:</t>
  </si>
  <si>
    <t>F</t>
  </si>
  <si>
    <t>F)</t>
  </si>
  <si>
    <t>a)</t>
  </si>
  <si>
    <t>b)</t>
  </si>
  <si>
    <t>c)</t>
  </si>
  <si>
    <t>anzuerkennender Mehrbedarf:</t>
  </si>
  <si>
    <t>qm</t>
  </si>
  <si>
    <t>Leistungen für Unterkunft und Heizung (§ 22)</t>
  </si>
  <si>
    <t>Leistungen für Mehrbedarfe beim Lebensunterhalt (§ 21)</t>
  </si>
  <si>
    <t>(320 Euro insgesamt bei Partnern)</t>
  </si>
  <si>
    <t>Ast.</t>
  </si>
  <si>
    <t>Anzahl:</t>
  </si>
  <si>
    <t>Höchstbetrag nach § 26 I S.2:</t>
  </si>
  <si>
    <t>x</t>
  </si>
  <si>
    <t>=</t>
  </si>
  <si>
    <t>max. in Höhe des durchschnittlichen allgemeinen Betragssatz der Krankenkassen (§ 245 SGB V)</t>
  </si>
  <si>
    <t>Höchstbetrag nach § 26 II S.2+3:</t>
  </si>
  <si>
    <t>max. Höchstbetrag</t>
  </si>
  <si>
    <r>
      <t xml:space="preserve">Zuschuss für freiwillig an die gesetzliche </t>
    </r>
    <r>
      <rPr>
        <u val="single"/>
        <sz val="10"/>
        <rFont val="Arial"/>
        <family val="2"/>
      </rPr>
      <t>Rentenversicherung,</t>
    </r>
    <r>
      <rPr>
        <sz val="10"/>
        <rFont val="Arial"/>
        <family val="2"/>
      </rPr>
      <t xml:space="preserve"> eine berufsständische</t>
    </r>
  </si>
  <si>
    <r>
      <t xml:space="preserve">Zuschuss zu gezahlten Beiträgen an eine </t>
    </r>
    <r>
      <rPr>
        <u val="single"/>
        <sz val="10"/>
        <rFont val="Arial"/>
        <family val="2"/>
      </rPr>
      <t>private Krankenversicherung</t>
    </r>
  </si>
  <si>
    <r>
      <t xml:space="preserve">Zuschuss zu gezahlten Beiträgen an eine </t>
    </r>
    <r>
      <rPr>
        <u val="single"/>
        <sz val="10"/>
        <rFont val="Arial"/>
        <family val="2"/>
      </rPr>
      <t>private Pflegeversicherung</t>
    </r>
  </si>
  <si>
    <t>Regelleistungen</t>
  </si>
  <si>
    <t xml:space="preserve">A) </t>
  </si>
  <si>
    <t xml:space="preserve">B) </t>
  </si>
  <si>
    <t xml:space="preserve">C) </t>
  </si>
  <si>
    <t>Leistungen für Unterkunft und Heizung</t>
  </si>
  <si>
    <t xml:space="preserve">D) </t>
  </si>
  <si>
    <t>Mehrbedarf für behinderte Hilfebedürftige</t>
  </si>
  <si>
    <t>Mehrbedarf wg. kostenaufwändiger Ernährung</t>
  </si>
  <si>
    <t>c) für erwerbsfähige behinderte Hilfebedürftige</t>
  </si>
  <si>
    <t>d) wegen kostenaufwändiger Ernährung</t>
  </si>
  <si>
    <t>a) wegen Schwangerschaft</t>
  </si>
  <si>
    <t>b) wegen Alleinerziehung</t>
  </si>
  <si>
    <t>Leistungsart:</t>
  </si>
  <si>
    <t>Kürzung Regelleistungen</t>
  </si>
  <si>
    <t>überschüssiges Eink./Vermögen:</t>
  </si>
  <si>
    <t>(keiner ausgewählt)</t>
  </si>
  <si>
    <t>Konfiguration</t>
  </si>
  <si>
    <t>gelbe</t>
  </si>
  <si>
    <t>x 7 € =</t>
  </si>
  <si>
    <t>Anzahl volle 10 Euro:</t>
  </si>
  <si>
    <r>
      <t>geförderte Altersvorsorge</t>
    </r>
    <r>
      <rPr>
        <sz val="8"/>
        <rFont val="Arial"/>
        <family val="2"/>
      </rPr>
      <t xml:space="preserve"> ("Riester")</t>
    </r>
  </si>
  <si>
    <t>Kürzung Mehrbedarf</t>
  </si>
  <si>
    <t>ggf. Kürzung um ... % (§ 31)</t>
  </si>
  <si>
    <t>Unterkunft + Heizung (§ 22)</t>
  </si>
  <si>
    <t>Kürzung Unterkunft+Heizg.</t>
  </si>
  <si>
    <t>Grund:</t>
  </si>
  <si>
    <t>Die Tabelle wurde für einen ersten Überblick über die zu erwartenden Leistungen des SGB II erstellt.</t>
  </si>
  <si>
    <t>Sie erhebt nicht den Anspruch, eine vollständige und genaue Berechnung der Leistungen zu bieten.</t>
  </si>
  <si>
    <t>Für sämtliche Ergebnisse, Hinweise oder Berechnungen wird keine Gewähr übernommen.</t>
  </si>
  <si>
    <t>Die Tabelle und die darin enthaltenen Formeln sind urheberrechtlich geschützt.</t>
  </si>
  <si>
    <t>wichtige Hinweise:</t>
  </si>
  <si>
    <t>(Ehe-)Partner</t>
  </si>
  <si>
    <t>Abweichende Erbringung von Leistungen im Einzelfall (§ 23)</t>
  </si>
  <si>
    <t>Erstausstattung für die Wohnung einschl. Haushaltsgeräte</t>
  </si>
  <si>
    <t>Erstausstattung für Bekleidung</t>
  </si>
  <si>
    <t>mehrtägige Klassenfahrten</t>
  </si>
  <si>
    <t>Bekleidung bei Schwangerschaft und Geburt</t>
  </si>
  <si>
    <t>Abweichende Erbringung von Leistungen (§ 23)</t>
  </si>
  <si>
    <t>Berechnung des Anspruchs auf einmalige Sonderleistungen nach § 23 Abs. 3:</t>
  </si>
  <si>
    <t>einmaliger Bedarf</t>
  </si>
  <si>
    <t>Höhe des lfd. Bedarfs</t>
  </si>
  <si>
    <t>x Faktor 7 (§ 23 III S.3)</t>
  </si>
  <si>
    <t>überschüssiges Einkommen</t>
  </si>
  <si>
    <t>Art des Bedarfs (nicht in Regelleistung enthalten)</t>
  </si>
  <si>
    <t>verbleibender lfd. Bedarf</t>
  </si>
  <si>
    <t>Verteilung Überschuss</t>
  </si>
  <si>
    <t>Anteil in % am lfd. Gesamtbedarf</t>
  </si>
  <si>
    <t>(zusätzlicher) einmaliger Zahlbetrag, gerundet:</t>
  </si>
  <si>
    <t>restlicher einmaliger Bedarf</t>
  </si>
  <si>
    <t>Anteil in % am einm. Ges.bedarf</t>
  </si>
  <si>
    <t>Art des Bedarfs (nicht Regelleistung enthalten)</t>
  </si>
  <si>
    <t>Wohngeld</t>
  </si>
  <si>
    <t>Ergebnis:</t>
  </si>
  <si>
    <t>Kostenlose Weitergabe (nur an private Nutzer) ist ausdrücklich erlaubt.</t>
  </si>
  <si>
    <t>Keine gewerbliche oder behördliche Nutzung gestattet. Zuwiderhandlungen werden verfolgt.</t>
  </si>
  <si>
    <t>Der Autor bietet keine Rechtsberatung an!</t>
  </si>
  <si>
    <t>weiter mit:</t>
  </si>
  <si>
    <t xml:space="preserve">        oder:</t>
  </si>
  <si>
    <t>Fehlermeldungen und Verbesserungsvorschläge senden Sie bitte an:</t>
  </si>
  <si>
    <t>I</t>
  </si>
  <si>
    <t>II</t>
  </si>
  <si>
    <t>III</t>
  </si>
  <si>
    <t>IV</t>
  </si>
  <si>
    <t>V</t>
  </si>
  <si>
    <t>VI</t>
  </si>
  <si>
    <t>jede weitere P.</t>
  </si>
  <si>
    <t>Mehrbetrag für</t>
  </si>
  <si>
    <t>Miethöchstgrenzen nach Tabelle in § 8 Wohngeldgesetz, rechte Spalte</t>
  </si>
  <si>
    <t>Mietstufen</t>
  </si>
  <si>
    <t>Auswahl der Mietstufe:</t>
  </si>
  <si>
    <t>Auswahl:</t>
  </si>
  <si>
    <t>angemessene Kaltmiete (inkl. Nebenkosten) bei Mietstufe</t>
  </si>
  <si>
    <t>Versorgungseinrichtung oder für eine private Alterssicherung gezahlte Beiträge</t>
  </si>
  <si>
    <t>gezahlt</t>
  </si>
  <si>
    <t>Anspruch ALG II und Sozialgeld:</t>
  </si>
  <si>
    <t>Bruttoerwerbseinkommen</t>
  </si>
  <si>
    <t>Bereinigungen § 11 II Nr. 1-5</t>
  </si>
  <si>
    <t>bereinigtes Nettoeinkommen</t>
  </si>
  <si>
    <t>x 15% Freibetrag =</t>
  </si>
  <si>
    <t>Teilbetrag vom Brutto &gt;400-900 €</t>
  </si>
  <si>
    <t>Teilbetrag vom Brutto 0-400 €</t>
  </si>
  <si>
    <t>Teilbetrag vom Brutto &gt;900-1500 €</t>
  </si>
  <si>
    <t>Summe der Freibeträge</t>
  </si>
  <si>
    <t>Alter (bis 14):</t>
  </si>
  <si>
    <t>Michael Brinkmann, Marienstr. 31, 27239 Twistringen</t>
  </si>
  <si>
    <t>= Nettoeinkommen</t>
  </si>
  <si>
    <t>freiw./private Krankenvers.</t>
  </si>
  <si>
    <t>freiw./private Pflegevers.</t>
  </si>
  <si>
    <t>Pflichtbeiträge Sozialvers.</t>
  </si>
  <si>
    <t>Steuern auf Einkommen</t>
  </si>
  <si>
    <t>freiw./private Rentenvers.</t>
  </si>
  <si>
    <t>Werbungskosten</t>
  </si>
  <si>
    <t>Beiträge "Riester-Rente"</t>
  </si>
  <si>
    <t>Arbeitslosengeld I</t>
  </si>
  <si>
    <t>Berechnung des Erwerbstätigenfreibetrages im Einzelnen</t>
  </si>
  <si>
    <t>Bargeld, (Spar-)Guthaben</t>
  </si>
  <si>
    <t>Wertpapiere, Aktien, Fondsanteile</t>
  </si>
  <si>
    <t>Forderungen</t>
  </si>
  <si>
    <t>Haus- und Grundeigentum</t>
  </si>
  <si>
    <t>dingliche Rechte an Grundstücken</t>
  </si>
  <si>
    <t>gesamtes Vermögen der (Ehe-)Partner:</t>
  </si>
  <si>
    <t>Absetzungen (§ 12 II)</t>
  </si>
  <si>
    <t>gesamte Absetzungen der (Ehe-)Partner:</t>
  </si>
  <si>
    <t>je Person</t>
  </si>
  <si>
    <t>Alter</t>
  </si>
  <si>
    <t>Kind1</t>
  </si>
  <si>
    <t>Kind2</t>
  </si>
  <si>
    <t>(mögl. Alter)</t>
  </si>
  <si>
    <t>Berechnung von Arbeitslosengeld II, Kinderzuschlag und Sozialgeld</t>
  </si>
  <si>
    <t>© Michael Brinkmann - alle Rechte vorbehalten</t>
  </si>
  <si>
    <t>der nicht dauernd getrennt lebende Ehegatte,</t>
  </si>
  <si>
    <t>die Person, die mit dem erwerbsfähigen Hilfebedürftigen in eheähnlicher Gemeinschaft lebt,</t>
  </si>
  <si>
    <t>der nicht dauernd getrennt lebende Lebenspartner,</t>
  </si>
  <si>
    <t>-</t>
  </si>
  <si>
    <t>soweit sie nicht aus eigenem Einkommen oder Vermögen die Leistungen zur Sicherung des Lebensunterhalts beschaffen können.</t>
  </si>
  <si>
    <t xml:space="preserve">die dem Haushalt angehörenden minderjährigen unverheirateten Kinder des erwerbsfähigen Hilfebedürftigen oder seines Partners, </t>
  </si>
  <si>
    <t>und der im Haushalt lebende Partner dieses Elternteils,</t>
  </si>
  <si>
    <t xml:space="preserve">die im Haushalt lebenden Eltern oder der im Haushalt lebende Elternteil eines minderjährigen, unverheirateten erwerbsfähigen Kindes </t>
  </si>
  <si>
    <t>(erwerbsfähig)</t>
  </si>
  <si>
    <t>Gehen Sie nun nacheinander zu den folgenden Arbeitsblättern und geben dort die erforderlichen Daten ein!</t>
  </si>
  <si>
    <t>Auskünfte über das neue Arbeitslosengeld II erhalten Sie bei Ihrer Geschäftsstelle der Bundesagentur für Arbeit.</t>
  </si>
  <si>
    <t>Kind (bis 14)</t>
  </si>
  <si>
    <t>1=ABL / 2=NBL</t>
  </si>
  <si>
    <t>Grund Nr.</t>
  </si>
  <si>
    <t>nur angemessen</t>
  </si>
  <si>
    <t>im ersten Jahr</t>
  </si>
  <si>
    <t>im zweiten Jahr</t>
  </si>
  <si>
    <t>Kind</t>
  </si>
  <si>
    <t>Felder = Eingabe, mit Tabulator-Taste weiter</t>
  </si>
  <si>
    <t>erwerbsfähige werdende Mütter nach der 12. SSW.</t>
  </si>
  <si>
    <t>WAHR=alleinerziehend</t>
  </si>
  <si>
    <t>WAHR=1 Ki &lt; 7 od. 2/3 Ki. &lt;16</t>
  </si>
  <si>
    <t>WAHR=schwanger</t>
  </si>
  <si>
    <t>WAHR=behindert</t>
  </si>
  <si>
    <t>WAHR=bedürftig</t>
  </si>
  <si>
    <t>Kinder</t>
  </si>
  <si>
    <t>höchstens Regelleistung:</t>
  </si>
  <si>
    <t>Wohnfläche:</t>
  </si>
  <si>
    <t>nach den Voraussetzungen des § 21 Abs. 4</t>
  </si>
  <si>
    <t>(Ehe-) Partner</t>
  </si>
  <si>
    <t xml:space="preserve">- Bruttoeinnahmen monatlich - </t>
  </si>
  <si>
    <t>verteilt werden können:</t>
  </si>
  <si>
    <t>nicht bedürftig = WAHR</t>
  </si>
  <si>
    <t>Kind hilfebedürftig?</t>
  </si>
  <si>
    <t>wenn WAHR = 1</t>
  </si>
  <si>
    <t>gesamter (ggf. gekürzter) Bedarf:</t>
  </si>
  <si>
    <t>Verteilung Überschuss:</t>
  </si>
  <si>
    <t>nicht benötigter Kindergeldanteil</t>
  </si>
  <si>
    <t>Person/en in der Bedarfsgemeinschaft (automatisch errechnet)</t>
  </si>
  <si>
    <t>+</t>
  </si>
  <si>
    <t>abzgl. Mietanteile der Person/en außerhalb der Bedarfsgemeinschaft:</t>
  </si>
  <si>
    <t>ggf. Begrenzung auf angemessene Miete/Belastung (spätestens nach 6 Monaten)</t>
  </si>
  <si>
    <t>als Bedarf für Unterkunft anzuerkennen:</t>
  </si>
  <si>
    <t>auf die Bedarfsgemeinschaft entfallender Unterkunftsbedarf:</t>
  </si>
  <si>
    <t>angemessene Miete oder Zinslast inkl. Nebenkosten ohne Heizkosten:</t>
  </si>
  <si>
    <t>als Bedarf für Heizung anzuerkennen:</t>
  </si>
  <si>
    <t>abzgl. Heizkostenanteile der Person/en außerhalb der Bedarfsgemeinschaft:</t>
  </si>
  <si>
    <t>auf die Bedarfsgemeinschaft entfallender Bedarf für Heizung:</t>
  </si>
  <si>
    <t>ggf. Begrenzung auf angemessene Heizkosten (spätestens nach 6 Monaten)</t>
  </si>
  <si>
    <t>anzuerkennende Warmmiete der Bedarfsgemeinschaft:</t>
  </si>
  <si>
    <t>angemessene Heizkosten:</t>
  </si>
  <si>
    <r>
      <t xml:space="preserve">tatsächliche </t>
    </r>
    <r>
      <rPr>
        <b/>
        <sz val="10"/>
        <rFont val="Arial"/>
        <family val="2"/>
      </rPr>
      <t>Miete oder Zinslast</t>
    </r>
    <r>
      <rPr>
        <sz val="10"/>
        <rFont val="Arial"/>
        <family val="2"/>
      </rPr>
      <t xml:space="preserve"> inkl. Nebenkosten ohne Heizkosten</t>
    </r>
  </si>
  <si>
    <r>
      <t xml:space="preserve">tatsächliche </t>
    </r>
    <r>
      <rPr>
        <b/>
        <sz val="10"/>
        <rFont val="Arial"/>
        <family val="2"/>
      </rPr>
      <t>Heizkosten</t>
    </r>
  </si>
  <si>
    <t>Hinweise:</t>
  </si>
  <si>
    <t>- im Arbeitsblatt "Anspruch" wird automatisch geprüft, ob diese Kinder bedürftig sind</t>
  </si>
  <si>
    <t>- volljährige od. verheiratete Kinder gehören nicht zur Bedarfsgemeinschaft. Für sie ist eine getrennte Berechnung vorzunehmen.</t>
  </si>
  <si>
    <t>gesamte Personen in Haushaltsgemeinschaft (max. 15)</t>
  </si>
  <si>
    <t>Ehepaare</t>
  </si>
  <si>
    <t>Unterkunft</t>
  </si>
  <si>
    <t>Heizung</t>
  </si>
  <si>
    <t>Alleinstehende</t>
  </si>
  <si>
    <t>gesamt</t>
  </si>
  <si>
    <t>x Anzahl</t>
  </si>
  <si>
    <t>= Betrag</t>
  </si>
  <si>
    <t>Berechnung:</t>
  </si>
  <si>
    <t>x Elternanteil</t>
  </si>
  <si>
    <t>/ Gesamtbetrag</t>
  </si>
  <si>
    <t xml:space="preserve"> (lt. Bericht)</t>
  </si>
  <si>
    <t>tatsächliche</t>
  </si>
  <si>
    <t xml:space="preserve"> Warmmiete</t>
  </si>
  <si>
    <t>(lt. Bericht)</t>
  </si>
  <si>
    <t>= tatsächlicher</t>
  </si>
  <si>
    <t>Elternanteil</t>
  </si>
  <si>
    <t>Aufteilung der monatlichen Kosten für Unterkunft und Heizung nach dem</t>
  </si>
  <si>
    <t>letzten Bericht der Bundesregierung über die Höhe des Existenzminimums:</t>
  </si>
  <si>
    <t>Zwischenrechnung:</t>
  </si>
  <si>
    <t>zuletzt bezogenes Arbeitslosengeld (monatlich)</t>
  </si>
  <si>
    <t>Minderung um Einkommen und Vermögen des Kindes/der Kinder</t>
  </si>
  <si>
    <t>abzgl. nach § 12 zu berücksichtigendes Vermögen des Kindes</t>
  </si>
  <si>
    <t>unterer Grenzbetrag</t>
  </si>
  <si>
    <t>Das elterliche Einkommen/Vermögen muss mindestens dem</t>
  </si>
  <si>
    <t>pauschalierten Regelbedarf der Eltern zzgl. evtl. Mehrbedarfe sowie</t>
  </si>
  <si>
    <t>oberer Grenzbetrag</t>
  </si>
  <si>
    <t>Den Eltern steht kein Anspruch auf Kinderzuschlag zu, wenn ihr</t>
  </si>
  <si>
    <t>Einkommen und Vermögen die Summe aus dem Bedarf an ALG II</t>
  </si>
  <si>
    <t>maximaler Gesamtkinderzuschlag (je Kind 140 Euro):</t>
  </si>
  <si>
    <t>zustehender Kinderzuschlag je Kind:</t>
  </si>
  <si>
    <t>Höchstmöglicher Gesamtkinderzuschlag</t>
  </si>
  <si>
    <t>Minderung um Einkommen/Vermögen der Eltern</t>
  </si>
  <si>
    <t>nach dem X. Abschnitt des EStG oder Anspruch auf andere Leistungen im</t>
  </si>
  <si>
    <t>Nichterwerbseinkommen der Eltern/des Elternteils:</t>
  </si>
  <si>
    <t>Vermögen der Eltern/des Elternteils:</t>
  </si>
  <si>
    <t>Summe des Nichterwerbseinkommens und Vermögens:</t>
  </si>
  <si>
    <t>G</t>
  </si>
  <si>
    <t>abzgl. nach § 11 zu berücksichtigendes Einkommen* des Kindes</t>
  </si>
  <si>
    <t>Überschreitung:</t>
  </si>
  <si>
    <t>= Überschreitungsbetrag</t>
  </si>
  <si>
    <t>Zusammenfassende Berechnung</t>
  </si>
  <si>
    <t>(Summe aus zustehenden Einzelkinderzuschlägen):</t>
  </si>
  <si>
    <t>(= gesamter Minderungsbetrag)</t>
  </si>
  <si>
    <t>Gesamtkinderzuschlag nach Anrechnung Einkommen/Vermögen</t>
  </si>
  <si>
    <t>höchstmöglicher Kinderzuschlag für das Kind:</t>
  </si>
  <si>
    <t>den anteiligen Unterkunftskosten entsprechen</t>
  </si>
  <si>
    <t xml:space="preserve"> - siehe Vergleichsberechnung im Arbeitsblatt "Anspruch"</t>
  </si>
  <si>
    <t>Anzahl der Kinder, für die Anspruch auf Kindergeld nach dem BKGG oder</t>
  </si>
  <si>
    <t>Der Kinderzuschlag wird nur gezahlt, wenn durch ihn Hilfebedürftigkeit nach § 9 vermieden wird! (§ 6 a I Nr. 3 BKGG)</t>
  </si>
  <si>
    <t>a) Nichterwerbseinkommen und Vermögen, soweit es den unteren</t>
  </si>
  <si>
    <t xml:space="preserve">   Grenzbetrag überschreitet, zu 100%:</t>
  </si>
  <si>
    <t xml:space="preserve">   Regelleistung/en der Eltern/des Elternteils:</t>
  </si>
  <si>
    <t>+ evtl. Mehrbedarf:</t>
  </si>
  <si>
    <t>+ Elternanteil an Warmmiete:</t>
  </si>
  <si>
    <t>= unterer Grenzbetrag:</t>
  </si>
  <si>
    <t xml:space="preserve">   unterer Grenzbetrag (D):</t>
  </si>
  <si>
    <t>= oberer Grenzbetrag:</t>
  </si>
  <si>
    <t>abzgl. unterer Grenzbetrag:</t>
  </si>
  <si>
    <t>elterliches Erwerbseinkommen (bereinigt):</t>
  </si>
  <si>
    <t>Gesamtkinderzuschlag abzgl. Einkommen/Vermögen Kind/er:</t>
  </si>
  <si>
    <t>abzgl. elterliches Einkommen/Vermögen (F):</t>
  </si>
  <si>
    <t>= Anspruch auf Kinderzuschlag:</t>
  </si>
  <si>
    <t>* mit Ausnahme des Wohngeldes</t>
  </si>
  <si>
    <t>elterliches Einkommen* und Vermögen</t>
  </si>
  <si>
    <t>im Sinne der §§ 11, 12 SGB II:</t>
  </si>
  <si>
    <t>E-Mail: Info@ArbeitslosengeldII.de</t>
  </si>
  <si>
    <t>Bitte haben Sie Verständnis dafür, dass ich Fragen zum ALG II aus Zeitgründen nicht beantworten kann.</t>
  </si>
  <si>
    <t>Zentrales Beratungstelefon der Bundesagentur für Arbeitslosengeld II : Tel. 01801 - 012 012</t>
  </si>
  <si>
    <t>http://www.unterhalt-berechnen.de</t>
  </si>
  <si>
    <t>http://www.ArbeitslosengeldII.de</t>
  </si>
  <si>
    <t>Berechnung von Sozialhilfe:</t>
  </si>
  <si>
    <t>http://www.michael-brinkmann.de</t>
  </si>
  <si>
    <t>Berechnung von Unterhalt:</t>
  </si>
  <si>
    <t xml:space="preserve">Berechnung von Arbeitslosengeld II: </t>
  </si>
  <si>
    <t xml:space="preserve">    </t>
  </si>
  <si>
    <t>Warmwasserbereitung über Heizung?</t>
  </si>
  <si>
    <t>Warmwasserabzug?</t>
  </si>
  <si>
    <t>Warmwasseranteil</t>
  </si>
  <si>
    <t>an den Heizungskosten:</t>
  </si>
  <si>
    <t>anzuerkennender Bedarf für Heizung:</t>
  </si>
  <si>
    <t>§ 54 I Nr. 1 u. 2 SGB XII gewährt wird</t>
  </si>
  <si>
    <t xml:space="preserve">weiter mit: </t>
  </si>
  <si>
    <t xml:space="preserve">oder (falls kein Vermögen vorhanden): </t>
  </si>
  <si>
    <t xml:space="preserve">oder (falls keine Kinder vorhanden): </t>
  </si>
  <si>
    <t>Der Autor:</t>
  </si>
  <si>
    <t>alternative Eingabe Anzahl Kinder:</t>
  </si>
  <si>
    <t>Exkurs: Kinderzuschlag nach § 6 a Bundeskindergeldgesetz</t>
  </si>
  <si>
    <t>Anzahl Kinder</t>
  </si>
  <si>
    <t>* mit Ausnahme des Wohngeldes und des Kindergeldes</t>
  </si>
  <si>
    <t>+ Gesamtkinderzuschlag (B):</t>
  </si>
  <si>
    <t xml:space="preserve">         (wenn niedriger als unterer Grenzbetrag)</t>
  </si>
  <si>
    <t xml:space="preserve">   kommen/Vermögen (das kleiner ist als der untere Grenzbetrag) den</t>
  </si>
  <si>
    <t xml:space="preserve">   unteren Grenzbetrag überschreitet, in Höhe von 7 Euro je volle</t>
  </si>
  <si>
    <t xml:space="preserve">  10 Euro Überschreitung</t>
  </si>
  <si>
    <t>und dem Gesamtkinderzuschlag (nach Anrechnung) überschreitet</t>
  </si>
  <si>
    <t>restliches überschreitendes Erwerbseinkommen:</t>
  </si>
  <si>
    <t>b) verbleibendes Erwerbseinkommen, wenn bereits das Nichterwerbs-</t>
  </si>
  <si>
    <t xml:space="preserve">    einkommen/Vermögen den unteren Grenzbetrag überschreitet, in</t>
  </si>
  <si>
    <t xml:space="preserve">    Höhe von 7 Euro je volle 10 Euro Überschreitung</t>
  </si>
  <si>
    <t>abzgl. bereits erfolgte Anrechnung unter a):</t>
  </si>
  <si>
    <t>c) Erwerbseinkommen, soweit es zusammen mit dem Nichterwerbsein-</t>
  </si>
  <si>
    <t>Summe a) + b) + c)</t>
  </si>
  <si>
    <t>elterliches Nichterwerbseinkommen/Vermögen:</t>
  </si>
  <si>
    <t>zzgl. elterliches Erwerbseinkommen (bereinigt):</t>
  </si>
  <si>
    <t>zzgl. Nichterwerbseinkommen/Vermögen:</t>
  </si>
  <si>
    <t>Summe beider Einkommen:</t>
  </si>
  <si>
    <t>Angehörige</t>
  </si>
  <si>
    <r>
      <t xml:space="preserve">*Zur </t>
    </r>
    <r>
      <rPr>
        <b/>
        <sz val="10"/>
        <rFont val="Arial"/>
        <family val="2"/>
      </rPr>
      <t>Bedarfsgemeinschaft</t>
    </r>
    <r>
      <rPr>
        <sz val="10"/>
        <rFont val="Arial"/>
        <family val="0"/>
      </rPr>
      <t xml:space="preserve"> (§ 7 Abs. 3) gehören:</t>
    </r>
  </si>
  <si>
    <t>Wohnort:</t>
  </si>
  <si>
    <t>alte Bundesländer einschl. Berlin (Ost)</t>
  </si>
  <si>
    <t>West</t>
  </si>
  <si>
    <t>Ost</t>
  </si>
  <si>
    <t>gerundet</t>
  </si>
  <si>
    <t>0 - 13 J.</t>
  </si>
  <si>
    <t>14 - 17 J.</t>
  </si>
  <si>
    <t>Angehöriger</t>
  </si>
  <si>
    <t>evtl. Leistungen</t>
  </si>
  <si>
    <t>Person/en außerhalb der Bedarfsgemeinschaft, aber in Haushaltsgemeinschaft (z.B. volljährige Kinder, Studenten)</t>
  </si>
  <si>
    <t>Freibetrag für notwendige Anschaffungen</t>
  </si>
  <si>
    <t>die erwerbsfähigen Hilfebedürftigen,</t>
  </si>
  <si>
    <t>Alg II / Sozialg.</t>
  </si>
  <si>
    <t>volljährig?</t>
  </si>
  <si>
    <t>Anzahl</t>
  </si>
  <si>
    <t>2 Volljährige im Haushalt</t>
  </si>
  <si>
    <r>
      <t>Partner</t>
    </r>
    <r>
      <rPr>
        <sz val="8"/>
        <rFont val="Arial"/>
        <family val="2"/>
      </rPr>
      <t xml:space="preserve"> (vollj.)</t>
    </r>
  </si>
  <si>
    <t>Alleinstehende/-erziehende</t>
  </si>
  <si>
    <t xml:space="preserve">- jeweils - </t>
  </si>
  <si>
    <t>Partner ist minderjährig</t>
  </si>
  <si>
    <t>Partner ist vorhanden</t>
  </si>
  <si>
    <t>für erwerbsfähige Hilfebedürftige und deren Angehörige</t>
  </si>
  <si>
    <t>Arbeitslosengeld II / Sozialgeld</t>
  </si>
  <si>
    <t>höherer Betrag (max. 60% der maßg. Regelleistung):</t>
  </si>
  <si>
    <t>NameISTLEER?</t>
  </si>
  <si>
    <t>17% der maßgebenden Regelleistung (gerundet):</t>
  </si>
  <si>
    <t>36% der maßgebenden Regelleistung (gerundet):</t>
  </si>
  <si>
    <t>35% der maßgebenden Regelleistung (gerundet):</t>
  </si>
  <si>
    <t>zu zahlendes ALG II / Sozialgeld (Angehörige)</t>
  </si>
  <si>
    <r>
      <t>Grundfreibetrag 200,- € (</t>
    </r>
    <r>
      <rPr>
        <sz val="8"/>
        <color indexed="12"/>
        <rFont val="Arial"/>
        <family val="2"/>
      </rPr>
      <t>*520,- €</t>
    </r>
    <r>
      <rPr>
        <sz val="8"/>
        <rFont val="Arial"/>
        <family val="2"/>
      </rPr>
      <t>) je Lebens-</t>
    </r>
  </si>
  <si>
    <r>
      <t>jahr, mind. 4.100 €, max. 13.000 € (</t>
    </r>
    <r>
      <rPr>
        <sz val="8"/>
        <color indexed="12"/>
        <rFont val="Arial"/>
        <family val="2"/>
      </rPr>
      <t>*33.800 €</t>
    </r>
    <r>
      <rPr>
        <sz val="8"/>
        <rFont val="Arial"/>
        <family val="2"/>
      </rPr>
      <t>)</t>
    </r>
  </si>
  <si>
    <t>200 € je Lebensjahr / höchstens 13.000 €:</t>
  </si>
  <si>
    <t xml:space="preserve"> (750,- € für jeden Hilfebedürftigen)</t>
  </si>
  <si>
    <r>
      <t>Kindergeld</t>
    </r>
    <r>
      <rPr>
        <sz val="8"/>
        <rFont val="Arial"/>
        <family val="2"/>
      </rPr>
      <t xml:space="preserve"> (Hinweis beachten)</t>
    </r>
  </si>
  <si>
    <t>Allein stehend</t>
  </si>
  <si>
    <t>35% (gerundet), wenn Eingliederungshilfe nach</t>
  </si>
  <si>
    <t>14 Jahre: 80%, 0-13 Jahre: 60% (gerundet)</t>
  </si>
  <si>
    <t>für Kinder bis zu 14 Jahren, die mit erwerbsfähigen Hilfebedürftigen in Bedarfsgemeinschaft leben</t>
  </si>
  <si>
    <t>ACHTUNG - DEMOVERSION!   -   FÜR FEHLER KEINE GEWÄHR   -   DATEI WIRD LAUFEND AKTUALISIERT</t>
  </si>
  <si>
    <t>Anleitung: Geben Sie in diesem Arbeitsblatt zunächst die Namen und das Alter der Personen der Bedarfsgemeinschaft* ein!</t>
  </si>
  <si>
    <t>15 - 64</t>
  </si>
  <si>
    <t>mind. 15</t>
  </si>
  <si>
    <t>max. 14</t>
  </si>
  <si>
    <r>
      <t>anrechenbares Einkommen</t>
    </r>
    <r>
      <rPr>
        <sz val="8"/>
        <rFont val="Arial"/>
        <family val="2"/>
      </rPr>
      <t xml:space="preserve"> (inkl. Wohngeld)</t>
    </r>
  </si>
  <si>
    <t>+ anrechenbares Vermögen</t>
  </si>
  <si>
    <t>+ Kinderzuschlag</t>
  </si>
  <si>
    <r>
      <t>gesamter Bedarf aller Personen</t>
    </r>
    <r>
      <rPr>
        <sz val="8"/>
        <rFont val="Arial"/>
        <family val="2"/>
      </rPr>
      <t xml:space="preserve"> (ohne Zuschlag nach § 24)</t>
    </r>
  </si>
  <si>
    <t>./. Einkommen</t>
  </si>
  <si>
    <t>./. Vermögen</t>
  </si>
  <si>
    <r>
      <t>+ Wohngeld</t>
    </r>
    <r>
      <rPr>
        <sz val="10"/>
        <rFont val="Arial"/>
        <family val="2"/>
      </rPr>
      <t xml:space="preserve"> (entfällt bei ALG II-Bezug):</t>
    </r>
  </si>
  <si>
    <r>
      <t>Summe ALG II + Sozialgeld</t>
    </r>
    <r>
      <rPr>
        <sz val="10"/>
        <rFont val="Arial"/>
        <family val="2"/>
      </rPr>
      <t xml:space="preserve"> (gerundet):</t>
    </r>
  </si>
  <si>
    <t>ALG II / Sozialgeld</t>
  </si>
  <si>
    <t>ALG II</t>
  </si>
  <si>
    <r>
      <t>Angehöriger</t>
    </r>
    <r>
      <rPr>
        <sz val="8"/>
        <rFont val="Arial"/>
        <family val="2"/>
      </rPr>
      <t xml:space="preserve"> (Kind: max. 17 J.)</t>
    </r>
  </si>
  <si>
    <t>(anteilig für jede Person)</t>
  </si>
  <si>
    <t>* Übergangsregelung § 65 Abs. 5 für vor dem 01.01.1948 Geborene</t>
  </si>
  <si>
    <t>Stand:</t>
  </si>
  <si>
    <r>
      <t xml:space="preserve">Vergleichsberechnung Kinderzuschlag </t>
    </r>
    <r>
      <rPr>
        <sz val="10"/>
        <color indexed="12"/>
        <rFont val="Arial"/>
        <family val="2"/>
      </rPr>
      <t>(§ 6 a Abs. 1 Nr. 3 BKKG - entweder Zahlung von ALG II + Sozialgeld oder Wohngeld + Kinderzuschlag)</t>
    </r>
  </si>
  <si>
    <r>
      <t>evtl. Kinderzuschlag</t>
    </r>
    <r>
      <rPr>
        <sz val="10"/>
        <rFont val="Arial"/>
        <family val="2"/>
      </rPr>
      <t xml:space="preserve"> (von Familienkasse):</t>
    </r>
  </si>
  <si>
    <t>Alter ISTLEER?</t>
  </si>
  <si>
    <t>beide leer?</t>
  </si>
  <si>
    <t>beide voll?</t>
  </si>
  <si>
    <t>Kind &lt; 7?</t>
  </si>
  <si>
    <t>Kind &lt; 16?</t>
  </si>
  <si>
    <t>60% der RL gerundet</t>
  </si>
  <si>
    <t>Summe:</t>
  </si>
  <si>
    <r>
      <t>Regelleistung zur Sicherung des Lebensunterhalts (§ 20)</t>
    </r>
    <r>
      <rPr>
        <sz val="10"/>
        <color indexed="12"/>
        <rFont val="Arial"/>
        <family val="2"/>
      </rPr>
      <t xml:space="preserve"> - ohne Berücksichtigung von Kindern bis 14 Jahre - </t>
    </r>
  </si>
  <si>
    <t>titulierte Unterhaltsansprüche</t>
  </si>
  <si>
    <t>(Rangverhältnisse beachten)</t>
  </si>
  <si>
    <t>zu berücksichtigendes Eink.:</t>
  </si>
  <si>
    <t>- 2/3 des Unterschiedsbetrages (gerundet), max. Höchstbetrag</t>
  </si>
  <si>
    <t>- Minderung des Zuschlages um 50% (gerundet)</t>
  </si>
  <si>
    <t>Rechtsgrundlagen sind solche des Sozialgesetzbuches, Zweites Buch (SGB II), soweit nicht anders angegeben</t>
  </si>
  <si>
    <t>(Gesetzestext)</t>
  </si>
  <si>
    <r>
      <t>Erwerbseinkommen</t>
    </r>
    <r>
      <rPr>
        <sz val="8"/>
        <rFont val="Arial"/>
        <family val="2"/>
      </rPr>
      <t xml:space="preserve"> (unselbst.)</t>
    </r>
  </si>
  <si>
    <t>- Pauschbetrag 15,33 € (unselbst.)</t>
  </si>
  <si>
    <t>- Pauschbetrag 30% (selbständig)</t>
  </si>
  <si>
    <t>- Fahrtkosten für ... km einf. Entf.</t>
  </si>
  <si>
    <t>- Anzahl Fahrtage im Monat</t>
  </si>
  <si>
    <t>- errechnete Fahrtkosten (6 ct /km)</t>
  </si>
  <si>
    <t>einmalige/unregelmäßige Einnahmen</t>
  </si>
  <si>
    <t>Renten</t>
  </si>
  <si>
    <t>Einn. aus selbständiger Tätigkeit</t>
  </si>
  <si>
    <t>Krankengeld</t>
  </si>
  <si>
    <t>(ohne zweckgebundene Einnahmen)</t>
  </si>
  <si>
    <t>gesetzlich vorgeschriebene Vers.</t>
  </si>
  <si>
    <r>
      <t>oder</t>
    </r>
    <r>
      <rPr>
        <sz val="8"/>
        <rFont val="Arial"/>
        <family val="2"/>
      </rPr>
      <t xml:space="preserve"> nachgew. höhere Fahrtkosten</t>
    </r>
  </si>
  <si>
    <t>x Nettolohnquote</t>
  </si>
  <si>
    <t>Pauschale private Versicherungen</t>
  </si>
  <si>
    <r>
      <t>oder</t>
    </r>
    <r>
      <rPr>
        <sz val="8"/>
        <rFont val="Arial"/>
        <family val="2"/>
      </rPr>
      <t xml:space="preserve"> nachgew. höhere Werb.kosten</t>
    </r>
  </si>
  <si>
    <t>Verhältnis Brutto-/Nettolohn (Quote)</t>
  </si>
  <si>
    <t xml:space="preserve">- Ausgeschlossen sind Hilfebedürftige, die voraussichtlich länger als 6 Monate stationär untergebracht sind, Bezieher von Altersrenten
</t>
  </si>
  <si>
    <t>- Hilfebedürftige haben keinen Anspruch auf Leistungen nach dem SGB II, sofern sie die Voraussetzungen für Leistungen nach dem</t>
  </si>
  <si>
    <t xml:space="preserve">  4. Kapitel des SGB XII (Grundsicherung im Alter und bei Erwerbsminderung) erfüllen.</t>
  </si>
  <si>
    <t xml:space="preserve">  sowie Auszubildende, deren Ausbildung dem Grunde nach förderungsfähig ist.</t>
  </si>
  <si>
    <t>Pflegeeltern, Geschwister, soweit sie ohne Eltern zusammenleben, sonstige Verwandte und Verschwägerte sowie nicht verwandte Personen einer Wohngemeinschaft.</t>
  </si>
  <si>
    <r>
      <t xml:space="preserve">Zu einer </t>
    </r>
    <r>
      <rPr>
        <b/>
        <sz val="9"/>
        <rFont val="Arial"/>
        <family val="2"/>
      </rPr>
      <t>Haushaltsgemeinschaft,</t>
    </r>
    <r>
      <rPr>
        <sz val="9"/>
        <rFont val="Arial"/>
        <family val="2"/>
      </rPr>
      <t xml:space="preserve"> nicht aber zu einer Bedarfsgemeinschaft, gehören: Großeltern und Enkelkinder, Onkel/Tanten und Nichten/Neffen, Pflegekinder und </t>
    </r>
  </si>
  <si>
    <t>x 30% Freibetrag =</t>
  </si>
  <si>
    <r>
      <t>bewegliches Verm.</t>
    </r>
    <r>
      <rPr>
        <sz val="8"/>
        <rFont val="Arial"/>
        <family val="2"/>
      </rPr>
      <t xml:space="preserve"> (z.B. Pkw &gt; 5000 €)</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</si>
</sst>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
    <numFmt numFmtId="167" formatCode="0.00000"/>
    <numFmt numFmtId="168" formatCode="#,##0.00\ &quot;€&quot;"/>
    <numFmt numFmtId="169" formatCode="#,##0.00;;#"/>
    <numFmt numFmtId="170" formatCode="0.00\ \€\)"/>
    <numFmt numFmtId="171" formatCode="#,##0.00\ _€"/>
    <numFmt numFmtId="172" formatCode="\+\ 0.00"/>
    <numFmt numFmtId="173" formatCode="0.00\ \€"/>
    <numFmt numFmtId="174" formatCode="\+\ 0.0"/>
    <numFmt numFmtId="175" formatCode="\+\ 0"/>
    <numFmt numFmtId="176" formatCode="0.0%"/>
    <numFmt numFmtId="177" formatCode="#,###;;#"/>
    <numFmt numFmtId="178" formatCode="_-* #,##0.00;;#"/>
    <numFmt numFmtId="179" formatCode="#,###.00;;#"/>
    <numFmt numFmtId="180" formatCode=";\-\ #,##0.00\ &quot;€&quot;;;"/>
    <numFmt numFmtId="181" formatCode="#,##0.00\ &quot;€&quot;;;"/>
    <numFmt numFmtId="182" formatCode="#,##0.00\ &quot;€&quot;;\-\ #,##0.00\ &quot;€&quot;;;"/>
    <numFmt numFmtId="183" formatCode="0;;"/>
    <numFmt numFmtId="184" formatCode="0.00%;;"/>
    <numFmt numFmtId="185" formatCode="#,##0.00\ &quot;€&quot;;"/>
    <numFmt numFmtId="186" formatCode="0%;;"/>
    <numFmt numFmtId="187" formatCode="#,##0.00;;"/>
    <numFmt numFmtId="188" formatCode="0.0%;;"/>
    <numFmt numFmtId="189" formatCode="0.00\ &quot;€&quot;;;"/>
    <numFmt numFmtId="190" formatCode="\-\ #,##0.00"/>
    <numFmt numFmtId="191" formatCode="#,##0.00;;0.00"/>
    <numFmt numFmtId="192" formatCode="#,##0.00\ &quot;€&quot;;\-\ #,##0.00\ &quot;€&quot;;"/>
    <numFmt numFmtId="193" formatCode="#,##0.00\ &quot;€&quot;;\-\ #,##0.00\ &quot;€&quot;;0.00"/>
    <numFmt numFmtId="194" formatCode="#,##0.00\ &quot;€&quot;;;0.00\ &quot;€&quot;"/>
    <numFmt numFmtId="195" formatCode="#,##0.00\ &quot;€&quot;;0.00\ &quot;€&quot;"/>
    <numFmt numFmtId="196" formatCode="#,##0.00\ &quot;€&quot;;;0"/>
    <numFmt numFmtId="197" formatCode="#,##0.00\ &quot;€&quot;;0.00;0.00"/>
    <numFmt numFmtId="198" formatCode="#,##0.00\ &quot;€&quot;;0.00\ &quot;€&quot;;0.00\ &quot;€&quot;"/>
    <numFmt numFmtId="199" formatCode="#,##0.00\ &quot;€&quot;;0.00\ &quot;€&quot;;\'"/>
    <numFmt numFmtId="200" formatCode="#,##0.00\ &quot;€&quot;;0.00\ &quot;€&quot;;;"/>
    <numFmt numFmtId="201" formatCode="#,##0\ &quot;€&quot;"/>
    <numFmt numFmtId="202" formatCode="#,##0.0\ &quot;€&quot;"/>
    <numFmt numFmtId="203" formatCode="0.000%"/>
    <numFmt numFmtId="204" formatCode="0.0000%"/>
    <numFmt numFmtId="205" formatCode="0\ &quot;Jahre&quot;"/>
    <numFmt numFmtId="206" formatCode="0\ &quot;Jahre&quot;;;"/>
    <numFmt numFmtId="207" formatCode="#,##0\ &quot;€&quot;;;"/>
    <numFmt numFmtId="208" formatCode=";;"/>
    <numFmt numFmtId="209" formatCode=".."/>
    <numFmt numFmtId="210" formatCode="00"/>
    <numFmt numFmtId="211" formatCode="0.."/>
    <numFmt numFmtId="212" formatCode="0.00000000"/>
    <numFmt numFmtId="213" formatCode="0.0000000"/>
    <numFmt numFmtId="214" formatCode="0.000000"/>
    <numFmt numFmtId="215" formatCode="#,##0.0000\ _€"/>
    <numFmt numFmtId="216" formatCode="000\ &quot;km&quot;"/>
    <numFmt numFmtId="217" formatCode="###\ &quot;km&quot;"/>
    <numFmt numFmtId="218" formatCode="0.0000;;"/>
  </numFmts>
  <fonts count="45">
    <font>
      <sz val="10"/>
      <name val="Arial"/>
      <family val="0"/>
    </font>
    <font>
      <sz val="8"/>
      <name val="Tahoma"/>
      <family val="2"/>
    </font>
    <font>
      <b/>
      <sz val="10"/>
      <name val="Arial"/>
      <family val="2"/>
    </font>
    <font>
      <i/>
      <sz val="8"/>
      <name val="Arial"/>
      <family val="2"/>
    </font>
    <font>
      <sz val="8"/>
      <color indexed="10"/>
      <name val="Arial"/>
      <family val="2"/>
    </font>
    <font>
      <sz val="8"/>
      <name val="Arial"/>
      <family val="2"/>
    </font>
    <font>
      <b/>
      <i/>
      <sz val="10"/>
      <name val="Arial"/>
      <family val="2"/>
    </font>
    <font>
      <b/>
      <sz val="12"/>
      <name val="Arial"/>
      <family val="2"/>
    </font>
    <font>
      <b/>
      <sz val="8"/>
      <name val="Arial"/>
      <family val="2"/>
    </font>
    <font>
      <sz val="10"/>
      <color indexed="22"/>
      <name val="Arial"/>
      <family val="2"/>
    </font>
    <font>
      <b/>
      <i/>
      <sz val="8"/>
      <name val="Arial"/>
      <family val="2"/>
    </font>
    <font>
      <u val="single"/>
      <sz val="10"/>
      <name val="Arial"/>
      <family val="2"/>
    </font>
    <font>
      <sz val="10"/>
      <color indexed="10"/>
      <name val="Arial"/>
      <family val="2"/>
    </font>
    <font>
      <b/>
      <sz val="8"/>
      <color indexed="10"/>
      <name val="Arial"/>
      <family val="2"/>
    </font>
    <font>
      <sz val="9"/>
      <name val="Arial"/>
      <family val="2"/>
    </font>
    <font>
      <b/>
      <sz val="10"/>
      <color indexed="12"/>
      <name val="Arial"/>
      <family val="2"/>
    </font>
    <font>
      <b/>
      <i/>
      <sz val="10"/>
      <color indexed="12"/>
      <name val="Arial"/>
      <family val="2"/>
    </font>
    <font>
      <b/>
      <sz val="9"/>
      <color indexed="12"/>
      <name val="Arial"/>
      <family val="2"/>
    </font>
    <font>
      <b/>
      <sz val="10"/>
      <color indexed="10"/>
      <name val="Arial"/>
      <family val="2"/>
    </font>
    <font>
      <u val="single"/>
      <sz val="8"/>
      <name val="Arial"/>
      <family val="2"/>
    </font>
    <font>
      <sz val="10"/>
      <color indexed="12"/>
      <name val="Arial"/>
      <family val="2"/>
    </font>
    <font>
      <b/>
      <i/>
      <sz val="9"/>
      <name val="Arial"/>
      <family val="2"/>
    </font>
    <font>
      <u val="single"/>
      <sz val="8"/>
      <name val="Tahoma"/>
      <family val="2"/>
    </font>
    <font>
      <b/>
      <sz val="12"/>
      <color indexed="10"/>
      <name val="Arial"/>
      <family val="2"/>
    </font>
    <font>
      <b/>
      <sz val="9"/>
      <name val="Arial"/>
      <family val="2"/>
    </font>
    <font>
      <b/>
      <sz val="11"/>
      <name val="Arial"/>
      <family val="2"/>
    </font>
    <font>
      <b/>
      <sz val="11"/>
      <color indexed="12"/>
      <name val="Arial"/>
      <family val="2"/>
    </font>
    <font>
      <sz val="8"/>
      <name val="Times New Roman"/>
      <family val="1"/>
    </font>
    <font>
      <b/>
      <sz val="8"/>
      <name val="Tahoma"/>
      <family val="2"/>
    </font>
    <font>
      <b/>
      <sz val="16"/>
      <name val="Arial"/>
      <family val="2"/>
    </font>
    <font>
      <b/>
      <sz val="8"/>
      <color indexed="12"/>
      <name val="Arial"/>
      <family val="2"/>
    </font>
    <font>
      <i/>
      <sz val="10"/>
      <name val="Arial"/>
      <family val="2"/>
    </font>
    <font>
      <sz val="12"/>
      <name val="Arial"/>
      <family val="2"/>
    </font>
    <font>
      <u val="single"/>
      <sz val="10"/>
      <color indexed="12"/>
      <name val="Arial"/>
      <family val="0"/>
    </font>
    <font>
      <b/>
      <u val="single"/>
      <sz val="12"/>
      <color indexed="12"/>
      <name val="Arial"/>
      <family val="2"/>
    </font>
    <font>
      <u val="single"/>
      <sz val="10"/>
      <color indexed="36"/>
      <name val="Arial"/>
      <family val="0"/>
    </font>
    <font>
      <b/>
      <u val="single"/>
      <sz val="10"/>
      <color indexed="12"/>
      <name val="Arial"/>
      <family val="2"/>
    </font>
    <font>
      <b/>
      <sz val="10"/>
      <color indexed="13"/>
      <name val="Arial"/>
      <family val="2"/>
    </font>
    <font>
      <sz val="10"/>
      <color indexed="13"/>
      <name val="Arial"/>
      <family val="2"/>
    </font>
    <font>
      <u val="single"/>
      <sz val="9"/>
      <name val="Arial"/>
      <family val="2"/>
    </font>
    <font>
      <sz val="10"/>
      <color indexed="9"/>
      <name val="Arial"/>
      <family val="2"/>
    </font>
    <font>
      <b/>
      <sz val="8"/>
      <color indexed="9"/>
      <name val="Arial"/>
      <family val="2"/>
    </font>
    <font>
      <sz val="8"/>
      <color indexed="12"/>
      <name val="Arial"/>
      <family val="2"/>
    </font>
    <font>
      <sz val="10"/>
      <color indexed="47"/>
      <name val="Arial"/>
      <family val="2"/>
    </font>
    <font>
      <b/>
      <i/>
      <sz val="10"/>
      <color indexed="10"/>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s>
  <borders count="38">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style="thick">
        <color indexed="10"/>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style="thick">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6">
    <xf numFmtId="0" fontId="0" fillId="0" borderId="0" xfId="0" applyAlignment="1">
      <alignment/>
    </xf>
    <xf numFmtId="2" fontId="0" fillId="2" borderId="1" xfId="0" applyNumberFormat="1" applyFill="1" applyBorder="1" applyAlignment="1" applyProtection="1">
      <alignment horizontal="center"/>
      <protection hidden="1" locked="0"/>
    </xf>
    <xf numFmtId="0" fontId="0" fillId="2" borderId="2" xfId="0" applyFill="1" applyBorder="1" applyAlignment="1" applyProtection="1">
      <alignment/>
      <protection hidden="1" locked="0"/>
    </xf>
    <xf numFmtId="0" fontId="0" fillId="2" borderId="3" xfId="0" applyFill="1" applyBorder="1" applyAlignment="1" applyProtection="1">
      <alignment/>
      <protection hidden="1" locked="0"/>
    </xf>
    <xf numFmtId="0" fontId="0" fillId="2" borderId="4" xfId="0" applyFill="1" applyBorder="1" applyAlignment="1" applyProtection="1">
      <alignment/>
      <protection hidden="1" locked="0"/>
    </xf>
    <xf numFmtId="0" fontId="0" fillId="3" borderId="0" xfId="0" applyFill="1" applyAlignment="1" applyProtection="1">
      <alignment/>
      <protection hidden="1"/>
    </xf>
    <xf numFmtId="0" fontId="0" fillId="2" borderId="1" xfId="0" applyFont="1" applyFill="1" applyBorder="1" applyAlignment="1" applyProtection="1">
      <alignment horizontal="center"/>
      <protection hidden="1" locked="0"/>
    </xf>
    <xf numFmtId="0" fontId="0" fillId="3" borderId="0" xfId="0" applyFill="1" applyBorder="1" applyAlignment="1" applyProtection="1">
      <alignment horizontal="left"/>
      <protection hidden="1"/>
    </xf>
    <xf numFmtId="0" fontId="0" fillId="3" borderId="0" xfId="0" applyFill="1" applyBorder="1" applyAlignment="1" applyProtection="1">
      <alignment/>
      <protection hidden="1"/>
    </xf>
    <xf numFmtId="173" fontId="0" fillId="2" borderId="1" xfId="0" applyNumberFormat="1" applyFont="1" applyFill="1" applyBorder="1" applyAlignment="1" applyProtection="1">
      <alignment horizontal="center"/>
      <protection hidden="1" locked="0"/>
    </xf>
    <xf numFmtId="0" fontId="5" fillId="3" borderId="0" xfId="0" applyFont="1" applyFill="1" applyBorder="1" applyAlignment="1" applyProtection="1">
      <alignment/>
      <protection hidden="1"/>
    </xf>
    <xf numFmtId="4" fontId="0" fillId="3" borderId="0" xfId="0" applyNumberFormat="1" applyFont="1" applyFill="1" applyBorder="1" applyAlignment="1" applyProtection="1">
      <alignment horizontal="center"/>
      <protection hidden="1"/>
    </xf>
    <xf numFmtId="0" fontId="0" fillId="3" borderId="0" xfId="0" applyFont="1" applyFill="1" applyBorder="1" applyAlignment="1" applyProtection="1">
      <alignment horizontal="right"/>
      <protection hidden="1"/>
    </xf>
    <xf numFmtId="2" fontId="0" fillId="3" borderId="0" xfId="0" applyNumberFormat="1" applyFont="1" applyFill="1" applyBorder="1" applyAlignment="1" applyProtection="1">
      <alignment horizontal="center"/>
      <protection hidden="1"/>
    </xf>
    <xf numFmtId="170" fontId="0" fillId="3" borderId="0" xfId="0" applyNumberFormat="1" applyFont="1" applyFill="1" applyBorder="1" applyAlignment="1" applyProtection="1">
      <alignment horizontal="left"/>
      <protection hidden="1"/>
    </xf>
    <xf numFmtId="0" fontId="0" fillId="3" borderId="0" xfId="0" applyFont="1" applyFill="1" applyBorder="1" applyAlignment="1" applyProtection="1">
      <alignment/>
      <protection hidden="1"/>
    </xf>
    <xf numFmtId="169" fontId="0" fillId="3" borderId="0" xfId="0" applyNumberFormat="1" applyFont="1" applyFill="1" applyBorder="1" applyAlignment="1" applyProtection="1">
      <alignment horizontal="center"/>
      <protection hidden="1"/>
    </xf>
    <xf numFmtId="168" fontId="0" fillId="3" borderId="0" xfId="0" applyNumberFormat="1" applyFont="1" applyFill="1" applyBorder="1" applyAlignment="1" applyProtection="1">
      <alignment horizontal="center"/>
      <protection hidden="1"/>
    </xf>
    <xf numFmtId="181" fontId="0" fillId="2" borderId="5" xfId="0" applyNumberFormat="1" applyFont="1" applyFill="1" applyBorder="1" applyAlignment="1" applyProtection="1">
      <alignment horizontal="right"/>
      <protection hidden="1" locked="0"/>
    </xf>
    <xf numFmtId="0" fontId="0" fillId="3" borderId="5" xfId="0" applyFont="1" applyFill="1" applyBorder="1" applyAlignment="1" applyProtection="1">
      <alignment horizontal="left"/>
      <protection hidden="1"/>
    </xf>
    <xf numFmtId="0" fontId="5" fillId="3" borderId="5" xfId="0" applyFont="1" applyFill="1" applyBorder="1" applyAlignment="1" applyProtection="1">
      <alignment/>
      <protection hidden="1"/>
    </xf>
    <xf numFmtId="168" fontId="0" fillId="3" borderId="6" xfId="0" applyNumberFormat="1" applyFont="1" applyFill="1" applyBorder="1" applyAlignment="1" applyProtection="1">
      <alignment horizontal="right"/>
      <protection hidden="1"/>
    </xf>
    <xf numFmtId="0" fontId="0" fillId="4" borderId="0" xfId="0" applyFill="1" applyAlignment="1" applyProtection="1">
      <alignment/>
      <protection hidden="1"/>
    </xf>
    <xf numFmtId="0" fontId="0" fillId="0" borderId="0" xfId="0" applyAlignment="1" applyProtection="1">
      <alignment/>
      <protection hidden="1"/>
    </xf>
    <xf numFmtId="0" fontId="3" fillId="3" borderId="5" xfId="0" applyFont="1" applyFill="1" applyBorder="1" applyAlignment="1" applyProtection="1">
      <alignment horizontal="center"/>
      <protection hidden="1"/>
    </xf>
    <xf numFmtId="0" fontId="15" fillId="3" borderId="0" xfId="0" applyFont="1" applyFill="1" applyAlignment="1" applyProtection="1">
      <alignment/>
      <protection hidden="1"/>
    </xf>
    <xf numFmtId="0" fontId="0" fillId="3" borderId="5" xfId="0" applyFill="1" applyBorder="1" applyAlignment="1" applyProtection="1">
      <alignment/>
      <protection hidden="1"/>
    </xf>
    <xf numFmtId="181" fontId="0" fillId="3" borderId="5" xfId="0" applyNumberFormat="1" applyFill="1" applyBorder="1" applyAlignment="1" applyProtection="1">
      <alignment/>
      <protection hidden="1"/>
    </xf>
    <xf numFmtId="0" fontId="3" fillId="3" borderId="0" xfId="0" applyFont="1" applyFill="1" applyAlignment="1" applyProtection="1">
      <alignment horizontal="right"/>
      <protection hidden="1"/>
    </xf>
    <xf numFmtId="0" fontId="6" fillId="3" borderId="0" xfId="0" applyFont="1" applyFill="1" applyAlignment="1" applyProtection="1">
      <alignment/>
      <protection hidden="1"/>
    </xf>
    <xf numFmtId="182" fontId="0" fillId="3" borderId="5" xfId="0" applyNumberFormat="1" applyFill="1" applyBorder="1" applyAlignment="1" applyProtection="1">
      <alignment/>
      <protection hidden="1"/>
    </xf>
    <xf numFmtId="0" fontId="0" fillId="3" borderId="5" xfId="0" applyFill="1" applyBorder="1" applyAlignment="1" applyProtection="1" quotePrefix="1">
      <alignment/>
      <protection hidden="1"/>
    </xf>
    <xf numFmtId="0" fontId="2" fillId="3" borderId="0" xfId="0" applyFont="1" applyFill="1" applyAlignment="1" applyProtection="1">
      <alignment/>
      <protection hidden="1"/>
    </xf>
    <xf numFmtId="184" fontId="0" fillId="3" borderId="5" xfId="0" applyNumberFormat="1" applyFill="1" applyBorder="1" applyAlignment="1" applyProtection="1">
      <alignment/>
      <protection hidden="1"/>
    </xf>
    <xf numFmtId="0" fontId="4" fillId="0" borderId="0" xfId="0" applyFont="1" applyAlignment="1" applyProtection="1">
      <alignment/>
      <protection hidden="1" locked="0"/>
    </xf>
    <xf numFmtId="0" fontId="4" fillId="0" borderId="0" xfId="0" applyFont="1" applyAlignment="1" applyProtection="1">
      <alignment horizontal="center"/>
      <protection hidden="1" locked="0"/>
    </xf>
    <xf numFmtId="0" fontId="5" fillId="3" borderId="0" xfId="0" applyFont="1" applyFill="1" applyAlignment="1" applyProtection="1">
      <alignment/>
      <protection hidden="1"/>
    </xf>
    <xf numFmtId="0" fontId="17" fillId="3" borderId="0" xfId="0" applyFont="1" applyFill="1" applyAlignment="1" applyProtection="1">
      <alignment/>
      <protection hidden="1"/>
    </xf>
    <xf numFmtId="0" fontId="4" fillId="4" borderId="0" xfId="0" applyFont="1" applyFill="1" applyAlignment="1" applyProtection="1">
      <alignment horizontal="center"/>
      <protection hidden="1" locked="0"/>
    </xf>
    <xf numFmtId="0" fontId="4" fillId="0" borderId="0" xfId="0" applyFont="1" applyAlignment="1" applyProtection="1">
      <alignment horizontal="center"/>
      <protection hidden="1"/>
    </xf>
    <xf numFmtId="181" fontId="0" fillId="2" borderId="5" xfId="0" applyNumberFormat="1" applyFont="1" applyFill="1" applyBorder="1" applyAlignment="1" applyProtection="1">
      <alignment horizontal="left"/>
      <protection hidden="1" locked="0"/>
    </xf>
    <xf numFmtId="168" fontId="0" fillId="3" borderId="0" xfId="0" applyNumberFormat="1" applyFill="1" applyAlignment="1" applyProtection="1">
      <alignment/>
      <protection hidden="1"/>
    </xf>
    <xf numFmtId="0" fontId="0" fillId="3" borderId="0" xfId="0" applyFont="1" applyFill="1" applyAlignment="1" applyProtection="1">
      <alignment/>
      <protection hidden="1"/>
    </xf>
    <xf numFmtId="0" fontId="0" fillId="3" borderId="0" xfId="0" applyFill="1" applyAlignment="1" applyProtection="1">
      <alignment horizontal="center"/>
      <protection hidden="1"/>
    </xf>
    <xf numFmtId="168" fontId="2" fillId="3" borderId="0" xfId="0" applyNumberFormat="1" applyFont="1" applyFill="1" applyAlignment="1" applyProtection="1">
      <alignment/>
      <protection hidden="1"/>
    </xf>
    <xf numFmtId="0" fontId="13" fillId="4" borderId="0" xfId="0" applyFont="1" applyFill="1" applyAlignment="1" applyProtection="1">
      <alignment/>
      <protection hidden="1"/>
    </xf>
    <xf numFmtId="0" fontId="5" fillId="3" borderId="0" xfId="0" applyFont="1" applyFill="1" applyBorder="1" applyAlignment="1" applyProtection="1">
      <alignment horizontal="center"/>
      <protection hidden="1"/>
    </xf>
    <xf numFmtId="0" fontId="0" fillId="0" borderId="0" xfId="0" applyFill="1" applyBorder="1" applyAlignment="1" applyProtection="1">
      <alignment/>
      <protection hidden="1"/>
    </xf>
    <xf numFmtId="0" fontId="5" fillId="3" borderId="7" xfId="0" applyFont="1" applyFill="1" applyBorder="1" applyAlignment="1" applyProtection="1">
      <alignment/>
      <protection hidden="1"/>
    </xf>
    <xf numFmtId="0" fontId="0" fillId="3" borderId="5" xfId="0" applyFill="1" applyBorder="1" applyAlignment="1" applyProtection="1">
      <alignment horizontal="left"/>
      <protection hidden="1"/>
    </xf>
    <xf numFmtId="0" fontId="0" fillId="0" borderId="0" xfId="0" applyFill="1" applyAlignment="1" applyProtection="1">
      <alignment/>
      <protection hidden="1"/>
    </xf>
    <xf numFmtId="0" fontId="0" fillId="2" borderId="5" xfId="0" applyFont="1" applyFill="1" applyBorder="1" applyAlignment="1" applyProtection="1">
      <alignment horizontal="left"/>
      <protection hidden="1" locked="0"/>
    </xf>
    <xf numFmtId="181" fontId="2" fillId="3" borderId="5" xfId="0" applyNumberFormat="1" applyFont="1" applyFill="1" applyBorder="1" applyAlignment="1" applyProtection="1">
      <alignment horizontal="right"/>
      <protection hidden="1"/>
    </xf>
    <xf numFmtId="186" fontId="0" fillId="2" borderId="5" xfId="19" applyNumberFormat="1" applyFill="1" applyBorder="1" applyAlignment="1" applyProtection="1">
      <alignment horizontal="center"/>
      <protection hidden="1" locked="0"/>
    </xf>
    <xf numFmtId="0" fontId="0" fillId="3" borderId="6" xfId="0" applyFill="1" applyBorder="1" applyAlignment="1" applyProtection="1">
      <alignment horizontal="left"/>
      <protection hidden="1"/>
    </xf>
    <xf numFmtId="181" fontId="0" fillId="2" borderId="6" xfId="0" applyNumberFormat="1" applyFont="1" applyFill="1" applyBorder="1" applyAlignment="1" applyProtection="1">
      <alignment horizontal="right"/>
      <protection hidden="1" locked="0"/>
    </xf>
    <xf numFmtId="0" fontId="5" fillId="3" borderId="8" xfId="0" applyFont="1" applyFill="1" applyBorder="1" applyAlignment="1" applyProtection="1">
      <alignment horizontal="right"/>
      <protection hidden="1"/>
    </xf>
    <xf numFmtId="181" fontId="5" fillId="3" borderId="8" xfId="0" applyNumberFormat="1" applyFont="1" applyFill="1" applyBorder="1" applyAlignment="1" applyProtection="1">
      <alignment horizontal="right"/>
      <protection hidden="1"/>
    </xf>
    <xf numFmtId="0" fontId="5" fillId="2" borderId="0" xfId="0" applyFont="1" applyFill="1" applyBorder="1" applyAlignment="1" applyProtection="1">
      <alignment horizontal="left"/>
      <protection hidden="1"/>
    </xf>
    <xf numFmtId="0" fontId="14" fillId="2" borderId="0" xfId="0" applyFont="1" applyFill="1" applyAlignment="1" applyProtection="1">
      <alignment/>
      <protection hidden="1"/>
    </xf>
    <xf numFmtId="0" fontId="4" fillId="0" borderId="0" xfId="0" applyFont="1" applyAlignment="1" applyProtection="1">
      <alignment/>
      <protection hidden="1"/>
    </xf>
    <xf numFmtId="0" fontId="0" fillId="2" borderId="0" xfId="0" applyFill="1" applyAlignment="1" applyProtection="1">
      <alignment/>
      <protection hidden="1"/>
    </xf>
    <xf numFmtId="181" fontId="0" fillId="3" borderId="0" xfId="0" applyNumberFormat="1" applyFill="1" applyAlignment="1" applyProtection="1">
      <alignment/>
      <protection hidden="1"/>
    </xf>
    <xf numFmtId="181" fontId="2" fillId="3" borderId="0" xfId="0" applyNumberFormat="1" applyFont="1" applyFill="1" applyAlignment="1" applyProtection="1">
      <alignment/>
      <protection hidden="1"/>
    </xf>
    <xf numFmtId="0" fontId="16" fillId="3" borderId="0" xfId="0" applyFont="1" applyFill="1" applyAlignment="1" applyProtection="1">
      <alignment horizontal="left"/>
      <protection hidden="1"/>
    </xf>
    <xf numFmtId="0" fontId="16" fillId="3" borderId="0" xfId="0" applyFont="1" applyFill="1" applyAlignment="1" applyProtection="1">
      <alignment/>
      <protection hidden="1"/>
    </xf>
    <xf numFmtId="0" fontId="5" fillId="3" borderId="0" xfId="0" applyFont="1" applyFill="1" applyAlignment="1" applyProtection="1">
      <alignment horizontal="left"/>
      <protection hidden="1"/>
    </xf>
    <xf numFmtId="0" fontId="3" fillId="3" borderId="0" xfId="0" applyFont="1" applyFill="1" applyAlignment="1" applyProtection="1">
      <alignment horizontal="left"/>
      <protection hidden="1"/>
    </xf>
    <xf numFmtId="2" fontId="0" fillId="3" borderId="0" xfId="0" applyNumberFormat="1" applyFill="1" applyAlignment="1" applyProtection="1">
      <alignment/>
      <protection hidden="1"/>
    </xf>
    <xf numFmtId="0" fontId="8" fillId="3" borderId="0" xfId="0" applyFont="1" applyFill="1" applyAlignment="1" applyProtection="1">
      <alignment/>
      <protection hidden="1"/>
    </xf>
    <xf numFmtId="0" fontId="5" fillId="3" borderId="0" xfId="0" applyFont="1" applyFill="1" applyAlignment="1" applyProtection="1" quotePrefix="1">
      <alignment horizontal="left"/>
      <protection hidden="1"/>
    </xf>
    <xf numFmtId="0" fontId="0" fillId="3" borderId="0" xfId="0" applyFill="1" applyAlignment="1" applyProtection="1">
      <alignment horizontal="left"/>
      <protection hidden="1"/>
    </xf>
    <xf numFmtId="0" fontId="5" fillId="2" borderId="0" xfId="0" applyFont="1" applyFill="1" applyAlignment="1" applyProtection="1">
      <alignment/>
      <protection hidden="1"/>
    </xf>
    <xf numFmtId="0" fontId="5" fillId="3" borderId="0" xfId="0" applyFont="1" applyFill="1" applyAlignment="1" applyProtection="1">
      <alignment horizontal="right"/>
      <protection hidden="1"/>
    </xf>
    <xf numFmtId="0" fontId="8" fillId="3" borderId="0" xfId="0" applyFont="1" applyFill="1" applyAlignment="1" applyProtection="1">
      <alignment horizontal="right"/>
      <protection hidden="1"/>
    </xf>
    <xf numFmtId="169" fontId="0" fillId="3" borderId="0" xfId="20" applyNumberFormat="1" applyFont="1" applyFill="1" applyBorder="1" applyAlignment="1" applyProtection="1">
      <alignment horizontal="center"/>
      <protection hidden="1"/>
    </xf>
    <xf numFmtId="168" fontId="5" fillId="3" borderId="0" xfId="0" applyNumberFormat="1" applyFont="1" applyFill="1" applyAlignment="1" applyProtection="1">
      <alignment horizontal="left"/>
      <protection hidden="1"/>
    </xf>
    <xf numFmtId="168" fontId="0" fillId="3" borderId="0" xfId="0" applyNumberFormat="1" applyFill="1" applyAlignment="1" applyProtection="1">
      <alignment horizontal="right"/>
      <protection hidden="1"/>
    </xf>
    <xf numFmtId="0" fontId="19" fillId="3" borderId="9" xfId="0" applyFont="1" applyFill="1" applyBorder="1" applyAlignment="1" applyProtection="1">
      <alignment/>
      <protection hidden="1"/>
    </xf>
    <xf numFmtId="0" fontId="5" fillId="3" borderId="10" xfId="0" applyFont="1" applyFill="1" applyBorder="1" applyAlignment="1" applyProtection="1">
      <alignment/>
      <protection hidden="1"/>
    </xf>
    <xf numFmtId="0" fontId="0" fillId="3" borderId="10" xfId="0" applyFill="1" applyBorder="1" applyAlignment="1" applyProtection="1">
      <alignment/>
      <protection hidden="1"/>
    </xf>
    <xf numFmtId="0" fontId="5" fillId="3" borderId="10" xfId="0" applyFont="1" applyFill="1" applyBorder="1" applyAlignment="1" applyProtection="1">
      <alignment horizontal="left"/>
      <protection hidden="1"/>
    </xf>
    <xf numFmtId="0" fontId="5" fillId="3" borderId="11" xfId="0" applyFont="1" applyFill="1" applyBorder="1" applyAlignment="1" applyProtection="1">
      <alignment horizontal="center"/>
      <protection hidden="1"/>
    </xf>
    <xf numFmtId="0" fontId="5" fillId="3" borderId="0" xfId="0" applyFont="1" applyFill="1" applyAlignment="1" applyProtection="1">
      <alignment horizontal="center"/>
      <protection hidden="1"/>
    </xf>
    <xf numFmtId="0" fontId="5" fillId="3" borderId="12" xfId="0" applyFont="1" applyFill="1" applyBorder="1" applyAlignment="1" applyProtection="1">
      <alignment/>
      <protection hidden="1"/>
    </xf>
    <xf numFmtId="168" fontId="5" fillId="3" borderId="13" xfId="0" applyNumberFormat="1" applyFont="1" applyFill="1" applyBorder="1" applyAlignment="1" applyProtection="1">
      <alignment/>
      <protection hidden="1"/>
    </xf>
    <xf numFmtId="168" fontId="5" fillId="3" borderId="0" xfId="0" applyNumberFormat="1" applyFont="1" applyFill="1" applyAlignment="1" applyProtection="1">
      <alignment/>
      <protection hidden="1"/>
    </xf>
    <xf numFmtId="0" fontId="3" fillId="3" borderId="0" xfId="0" applyFont="1" applyFill="1" applyBorder="1" applyAlignment="1" applyProtection="1">
      <alignment horizontal="right"/>
      <protection hidden="1"/>
    </xf>
    <xf numFmtId="0" fontId="0" fillId="3" borderId="7" xfId="0" applyFill="1" applyBorder="1" applyAlignment="1" applyProtection="1">
      <alignment/>
      <protection hidden="1"/>
    </xf>
    <xf numFmtId="0" fontId="0" fillId="3" borderId="14" xfId="0" applyFill="1" applyBorder="1" applyAlignment="1" applyProtection="1">
      <alignment/>
      <protection hidden="1"/>
    </xf>
    <xf numFmtId="0" fontId="3" fillId="3" borderId="14" xfId="0" applyFont="1" applyFill="1" applyBorder="1" applyAlignment="1" applyProtection="1">
      <alignment horizontal="right"/>
      <protection hidden="1"/>
    </xf>
    <xf numFmtId="168" fontId="5" fillId="3" borderId="15" xfId="0" applyNumberFormat="1" applyFont="1" applyFill="1" applyBorder="1" applyAlignment="1" applyProtection="1">
      <alignment/>
      <protection hidden="1"/>
    </xf>
    <xf numFmtId="181" fontId="8" fillId="3" borderId="0" xfId="0" applyNumberFormat="1" applyFont="1" applyFill="1" applyAlignment="1" applyProtection="1">
      <alignment horizontal="center"/>
      <protection hidden="1"/>
    </xf>
    <xf numFmtId="168" fontId="14" fillId="3" borderId="0" xfId="0" applyNumberFormat="1" applyFont="1" applyFill="1" applyAlignment="1" applyProtection="1">
      <alignment horizontal="center"/>
      <protection hidden="1"/>
    </xf>
    <xf numFmtId="168" fontId="5" fillId="3" borderId="0" xfId="0" applyNumberFormat="1" applyFont="1" applyFill="1" applyAlignment="1" applyProtection="1">
      <alignment horizontal="center"/>
      <protection hidden="1"/>
    </xf>
    <xf numFmtId="10" fontId="5" fillId="3" borderId="0" xfId="19" applyNumberFormat="1" applyFont="1" applyFill="1" applyAlignment="1" applyProtection="1">
      <alignment horizontal="center"/>
      <protection hidden="1"/>
    </xf>
    <xf numFmtId="0" fontId="5" fillId="3" borderId="1" xfId="0" applyFont="1" applyFill="1" applyBorder="1" applyAlignment="1" applyProtection="1">
      <alignment/>
      <protection hidden="1"/>
    </xf>
    <xf numFmtId="0" fontId="5" fillId="3" borderId="16" xfId="0" applyFont="1" applyFill="1" applyBorder="1" applyAlignment="1" applyProtection="1">
      <alignment horizontal="left"/>
      <protection hidden="1"/>
    </xf>
    <xf numFmtId="0" fontId="5" fillId="3"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181" fontId="5" fillId="3" borderId="16" xfId="0" applyNumberFormat="1" applyFont="1" applyFill="1" applyBorder="1" applyAlignment="1" applyProtection="1">
      <alignment/>
      <protection hidden="1"/>
    </xf>
    <xf numFmtId="168" fontId="5" fillId="3" borderId="17" xfId="0" applyNumberFormat="1" applyFont="1" applyFill="1" applyBorder="1" applyAlignment="1" applyProtection="1">
      <alignment horizontal="center"/>
      <protection hidden="1"/>
    </xf>
    <xf numFmtId="168" fontId="5" fillId="3" borderId="1" xfId="0" applyNumberFormat="1" applyFont="1" applyFill="1" applyBorder="1" applyAlignment="1" applyProtection="1">
      <alignment horizontal="center"/>
      <protection hidden="1"/>
    </xf>
    <xf numFmtId="0" fontId="14" fillId="3" borderId="0" xfId="0" applyFont="1" applyFill="1" applyAlignment="1" applyProtection="1">
      <alignment/>
      <protection hidden="1"/>
    </xf>
    <xf numFmtId="10" fontId="14" fillId="3" borderId="0" xfId="19" applyNumberFormat="1" applyFont="1" applyFill="1" applyAlignment="1" applyProtection="1">
      <alignment horizontal="center"/>
      <protection hidden="1"/>
    </xf>
    <xf numFmtId="181" fontId="5" fillId="3" borderId="0" xfId="0" applyNumberFormat="1" applyFont="1" applyFill="1" applyAlignment="1" applyProtection="1">
      <alignment/>
      <protection hidden="1"/>
    </xf>
    <xf numFmtId="168" fontId="5" fillId="2" borderId="0" xfId="0" applyNumberFormat="1" applyFont="1" applyFill="1" applyAlignment="1" applyProtection="1">
      <alignment horizontal="center"/>
      <protection hidden="1" locked="0"/>
    </xf>
    <xf numFmtId="10" fontId="5" fillId="2" borderId="0" xfId="19" applyNumberFormat="1" applyFont="1" applyFill="1" applyAlignment="1" applyProtection="1">
      <alignment horizontal="center"/>
      <protection hidden="1" locked="0"/>
    </xf>
    <xf numFmtId="168" fontId="5" fillId="2" borderId="1" xfId="0" applyNumberFormat="1" applyFont="1" applyFill="1" applyBorder="1" applyAlignment="1" applyProtection="1">
      <alignment horizontal="center"/>
      <protection hidden="1" locked="0"/>
    </xf>
    <xf numFmtId="0" fontId="4" fillId="0" borderId="0" xfId="0" applyFont="1" applyBorder="1" applyAlignment="1" applyProtection="1">
      <alignment horizontal="center"/>
      <protection hidden="1" locked="0"/>
    </xf>
    <xf numFmtId="0" fontId="4" fillId="0" borderId="0" xfId="0" applyFont="1" applyFill="1" applyAlignment="1" applyProtection="1">
      <alignment horizontal="right"/>
      <protection hidden="1" locked="0"/>
    </xf>
    <xf numFmtId="0" fontId="8" fillId="3" borderId="0" xfId="0" applyFont="1" applyFill="1" applyBorder="1" applyAlignment="1" applyProtection="1">
      <alignment horizontal="center"/>
      <protection hidden="1"/>
    </xf>
    <xf numFmtId="49" fontId="8" fillId="3" borderId="0" xfId="0" applyNumberFormat="1" applyFont="1" applyFill="1" applyBorder="1" applyAlignment="1" applyProtection="1">
      <alignment horizontal="center"/>
      <protection hidden="1"/>
    </xf>
    <xf numFmtId="0" fontId="24" fillId="3" borderId="0" xfId="0" applyFont="1" applyFill="1" applyBorder="1" applyAlignment="1" applyProtection="1">
      <alignment/>
      <protection hidden="1"/>
    </xf>
    <xf numFmtId="0" fontId="8" fillId="3" borderId="0" xfId="0" applyFont="1" applyFill="1" applyBorder="1" applyAlignment="1" applyProtection="1">
      <alignment horizontal="right"/>
      <protection hidden="1"/>
    </xf>
    <xf numFmtId="168" fontId="8" fillId="3" borderId="0" xfId="0" applyNumberFormat="1" applyFont="1" applyFill="1" applyBorder="1" applyAlignment="1" applyProtection="1">
      <alignment horizontal="center"/>
      <protection hidden="1"/>
    </xf>
    <xf numFmtId="0" fontId="5" fillId="3" borderId="18" xfId="0" applyFont="1" applyFill="1" applyBorder="1" applyAlignment="1" applyProtection="1">
      <alignment/>
      <protection hidden="1"/>
    </xf>
    <xf numFmtId="0" fontId="0" fillId="3" borderId="19" xfId="0" applyFill="1" applyBorder="1" applyAlignment="1" applyProtection="1">
      <alignment/>
      <protection hidden="1"/>
    </xf>
    <xf numFmtId="0" fontId="8" fillId="3" borderId="19" xfId="0" applyFont="1" applyFill="1" applyBorder="1" applyAlignment="1" applyProtection="1">
      <alignment horizontal="right"/>
      <protection hidden="1"/>
    </xf>
    <xf numFmtId="181" fontId="0" fillId="3" borderId="0" xfId="0" applyNumberFormat="1" applyFill="1" applyBorder="1" applyAlignment="1" applyProtection="1">
      <alignment/>
      <protection hidden="1"/>
    </xf>
    <xf numFmtId="181" fontId="0" fillId="2" borderId="0" xfId="0" applyNumberFormat="1" applyFill="1" applyBorder="1" applyAlignment="1" applyProtection="1">
      <alignment/>
      <protection hidden="1"/>
    </xf>
    <xf numFmtId="44" fontId="0" fillId="3" borderId="0" xfId="0" applyNumberFormat="1" applyFill="1" applyBorder="1" applyAlignment="1" applyProtection="1">
      <alignment/>
      <protection hidden="1"/>
    </xf>
    <xf numFmtId="0" fontId="0" fillId="2" borderId="0" xfId="0" applyFill="1" applyBorder="1" applyAlignment="1" applyProtection="1">
      <alignment/>
      <protection hidden="1"/>
    </xf>
    <xf numFmtId="168" fontId="2" fillId="3" borderId="0" xfId="0" applyNumberFormat="1" applyFont="1" applyFill="1" applyBorder="1" applyAlignment="1" applyProtection="1">
      <alignment/>
      <protection hidden="1"/>
    </xf>
    <xf numFmtId="0" fontId="8" fillId="3" borderId="0" xfId="0" applyFont="1" applyFill="1" applyBorder="1" applyAlignment="1" applyProtection="1">
      <alignment/>
      <protection hidden="1"/>
    </xf>
    <xf numFmtId="181" fontId="0" fillId="3" borderId="0" xfId="0" applyNumberFormat="1" applyFont="1" applyFill="1" applyAlignment="1" applyProtection="1">
      <alignment/>
      <protection hidden="1"/>
    </xf>
    <xf numFmtId="0" fontId="0" fillId="3" borderId="18" xfId="0" applyFont="1" applyFill="1" applyBorder="1" applyAlignment="1" applyProtection="1">
      <alignment/>
      <protection hidden="1"/>
    </xf>
    <xf numFmtId="0" fontId="0" fillId="3" borderId="20" xfId="0" applyFill="1" applyBorder="1" applyAlignment="1" applyProtection="1">
      <alignment/>
      <protection hidden="1"/>
    </xf>
    <xf numFmtId="0" fontId="0" fillId="3" borderId="20" xfId="0" applyFont="1" applyFill="1" applyBorder="1" applyAlignment="1" applyProtection="1">
      <alignment/>
      <protection hidden="1"/>
    </xf>
    <xf numFmtId="0" fontId="14" fillId="3" borderId="18" xfId="0" applyFont="1" applyFill="1" applyBorder="1" applyAlignment="1" applyProtection="1">
      <alignment/>
      <protection hidden="1"/>
    </xf>
    <xf numFmtId="184" fontId="0" fillId="3" borderId="18" xfId="0" applyNumberFormat="1" applyFont="1" applyFill="1" applyBorder="1" applyAlignment="1" applyProtection="1">
      <alignment/>
      <protection hidden="1"/>
    </xf>
    <xf numFmtId="0" fontId="8" fillId="3" borderId="5" xfId="0" applyNumberFormat="1" applyFont="1" applyFill="1" applyBorder="1" applyAlignment="1" applyProtection="1">
      <alignment horizontal="center"/>
      <protection hidden="1"/>
    </xf>
    <xf numFmtId="0" fontId="8" fillId="3" borderId="0" xfId="0" applyNumberFormat="1" applyFont="1" applyFill="1" applyBorder="1" applyAlignment="1" applyProtection="1">
      <alignment horizontal="center"/>
      <protection hidden="1"/>
    </xf>
    <xf numFmtId="0" fontId="5" fillId="4" borderId="5" xfId="0" applyNumberFormat="1" applyFont="1" applyFill="1" applyBorder="1" applyAlignment="1" applyProtection="1">
      <alignment horizontal="center"/>
      <protection hidden="1"/>
    </xf>
    <xf numFmtId="183" fontId="5" fillId="3" borderId="0" xfId="0" applyNumberFormat="1" applyFont="1" applyFill="1" applyBorder="1" applyAlignment="1" applyProtection="1">
      <alignment horizontal="left"/>
      <protection hidden="1"/>
    </xf>
    <xf numFmtId="183" fontId="5" fillId="2" borderId="0" xfId="0" applyNumberFormat="1" applyFont="1" applyFill="1" applyBorder="1" applyAlignment="1" applyProtection="1">
      <alignment horizontal="left"/>
      <protection hidden="1"/>
    </xf>
    <xf numFmtId="183" fontId="5" fillId="2" borderId="0" xfId="0" applyNumberFormat="1" applyFont="1" applyFill="1" applyAlignment="1" applyProtection="1">
      <alignment horizontal="left"/>
      <protection hidden="1"/>
    </xf>
    <xf numFmtId="183" fontId="5" fillId="3" borderId="0" xfId="0" applyNumberFormat="1" applyFont="1" applyFill="1" applyAlignment="1" applyProtection="1">
      <alignment horizontal="left"/>
      <protection hidden="1"/>
    </xf>
    <xf numFmtId="183" fontId="0" fillId="2" borderId="0" xfId="0" applyNumberFormat="1" applyFont="1" applyFill="1" applyAlignment="1" applyProtection="1">
      <alignment horizontal="left"/>
      <protection hidden="1"/>
    </xf>
    <xf numFmtId="181" fontId="0" fillId="3" borderId="6" xfId="0" applyNumberFormat="1" applyFont="1" applyFill="1" applyBorder="1" applyAlignment="1" applyProtection="1">
      <alignment horizontal="right"/>
      <protection hidden="1"/>
    </xf>
    <xf numFmtId="181" fontId="0" fillId="3" borderId="8" xfId="0" applyNumberFormat="1" applyFont="1" applyFill="1" applyBorder="1" applyAlignment="1" applyProtection="1">
      <alignment horizontal="right"/>
      <protection hidden="1"/>
    </xf>
    <xf numFmtId="181" fontId="0" fillId="3" borderId="5" xfId="0" applyNumberFormat="1" applyFont="1" applyFill="1" applyBorder="1" applyAlignment="1" applyProtection="1">
      <alignment horizontal="right"/>
      <protection hidden="1"/>
    </xf>
    <xf numFmtId="1" fontId="0" fillId="2" borderId="1" xfId="0" applyNumberFormat="1" applyFont="1" applyFill="1" applyBorder="1" applyAlignment="1" applyProtection="1">
      <alignment horizontal="center"/>
      <protection hidden="1" locked="0"/>
    </xf>
    <xf numFmtId="0" fontId="5" fillId="3" borderId="0" xfId="0" applyFont="1" applyFill="1" applyBorder="1" applyAlignment="1" applyProtection="1">
      <alignment horizontal="right"/>
      <protection hidden="1"/>
    </xf>
    <xf numFmtId="181" fontId="0" fillId="3" borderId="20" xfId="0" applyNumberFormat="1" applyFont="1" applyFill="1" applyBorder="1" applyAlignment="1" applyProtection="1">
      <alignment horizontal="right"/>
      <protection hidden="1"/>
    </xf>
    <xf numFmtId="0" fontId="5" fillId="3" borderId="5" xfId="0" applyNumberFormat="1"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0" fillId="2" borderId="5" xfId="0" applyFont="1" applyFill="1" applyBorder="1" applyAlignment="1" applyProtection="1">
      <alignment horizontal="center"/>
      <protection hidden="1"/>
    </xf>
    <xf numFmtId="181" fontId="0" fillId="3" borderId="5" xfId="0" applyNumberFormat="1" applyFill="1" applyBorder="1" applyAlignment="1" applyProtection="1">
      <alignment horizontal="right"/>
      <protection hidden="1"/>
    </xf>
    <xf numFmtId="0" fontId="5" fillId="3" borderId="5" xfId="0" applyFont="1" applyFill="1" applyBorder="1" applyAlignment="1" applyProtection="1" quotePrefix="1">
      <alignment/>
      <protection hidden="1"/>
    </xf>
    <xf numFmtId="0" fontId="0" fillId="3" borderId="5" xfId="0" applyFont="1" applyFill="1" applyBorder="1" applyAlignment="1" applyProtection="1">
      <alignment/>
      <protection hidden="1"/>
    </xf>
    <xf numFmtId="198" fontId="2" fillId="3" borderId="5" xfId="0" applyNumberFormat="1" applyFont="1" applyFill="1" applyBorder="1" applyAlignment="1" applyProtection="1">
      <alignment horizontal="right"/>
      <protection hidden="1"/>
    </xf>
    <xf numFmtId="182" fontId="2" fillId="3" borderId="5" xfId="0" applyNumberFormat="1" applyFont="1" applyFill="1" applyBorder="1" applyAlignment="1" applyProtection="1">
      <alignment/>
      <protection hidden="1"/>
    </xf>
    <xf numFmtId="0" fontId="8" fillId="3" borderId="0" xfId="0" applyNumberFormat="1" applyFont="1" applyFill="1" applyAlignment="1" applyProtection="1">
      <alignment/>
      <protection hidden="1"/>
    </xf>
    <xf numFmtId="181" fontId="2" fillId="3" borderId="0" xfId="0" applyNumberFormat="1" applyFont="1" applyFill="1" applyBorder="1" applyAlignment="1" applyProtection="1">
      <alignment horizontal="center"/>
      <protection hidden="1"/>
    </xf>
    <xf numFmtId="0" fontId="30" fillId="3" borderId="0" xfId="0" applyFont="1" applyFill="1" applyAlignment="1" applyProtection="1">
      <alignment/>
      <protection hidden="1"/>
    </xf>
    <xf numFmtId="0" fontId="0" fillId="3" borderId="18" xfId="0" applyFont="1" applyFill="1" applyBorder="1" applyAlignment="1" applyProtection="1">
      <alignment horizontal="left"/>
      <protection hidden="1"/>
    </xf>
    <xf numFmtId="0" fontId="0" fillId="3" borderId="19" xfId="0" applyFont="1" applyFill="1" applyBorder="1" applyAlignment="1" applyProtection="1">
      <alignment horizontal="left"/>
      <protection hidden="1"/>
    </xf>
    <xf numFmtId="168" fontId="0" fillId="3" borderId="19" xfId="20" applyNumberFormat="1" applyFont="1" applyFill="1" applyBorder="1" applyAlignment="1" applyProtection="1">
      <alignment horizontal="center"/>
      <protection hidden="1"/>
    </xf>
    <xf numFmtId="0" fontId="0" fillId="3" borderId="18" xfId="0" applyFill="1" applyBorder="1" applyAlignment="1" applyProtection="1">
      <alignment/>
      <protection hidden="1"/>
    </xf>
    <xf numFmtId="168" fontId="0" fillId="2" borderId="20" xfId="0" applyNumberFormat="1" applyFill="1" applyBorder="1" applyAlignment="1" applyProtection="1">
      <alignment/>
      <protection hidden="1" locked="0"/>
    </xf>
    <xf numFmtId="181" fontId="0" fillId="3" borderId="0" xfId="0" applyNumberFormat="1" applyFont="1" applyFill="1" applyBorder="1" applyAlignment="1" applyProtection="1">
      <alignment horizontal="center"/>
      <protection hidden="1"/>
    </xf>
    <xf numFmtId="0" fontId="0" fillId="3" borderId="1" xfId="0" applyFill="1" applyBorder="1" applyAlignment="1" applyProtection="1">
      <alignment/>
      <protection hidden="1"/>
    </xf>
    <xf numFmtId="0" fontId="5" fillId="3" borderId="1" xfId="0" applyNumberFormat="1" applyFont="1" applyFill="1" applyBorder="1" applyAlignment="1" applyProtection="1">
      <alignment horizontal="center"/>
      <protection hidden="1"/>
    </xf>
    <xf numFmtId="0" fontId="5" fillId="2" borderId="1" xfId="0" applyNumberFormat="1" applyFont="1" applyFill="1" applyBorder="1" applyAlignment="1" applyProtection="1">
      <alignment horizontal="center"/>
      <protection hidden="1" locked="0"/>
    </xf>
    <xf numFmtId="0" fontId="0" fillId="3" borderId="0" xfId="0" applyFill="1" applyAlignment="1">
      <alignment horizontal="center"/>
    </xf>
    <xf numFmtId="0" fontId="5" fillId="3" borderId="0" xfId="0" applyFont="1" applyFill="1" applyAlignment="1">
      <alignment horizontal="center"/>
    </xf>
    <xf numFmtId="181" fontId="5" fillId="3" borderId="5" xfId="0" applyNumberFormat="1" applyFont="1" applyFill="1" applyBorder="1" applyAlignment="1" applyProtection="1">
      <alignment/>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0" fillId="3" borderId="0" xfId="0" applyFill="1" applyBorder="1" applyAlignment="1" applyProtection="1">
      <alignment/>
      <protection hidden="1"/>
    </xf>
    <xf numFmtId="0" fontId="3" fillId="2" borderId="0" xfId="0" applyFont="1" applyFill="1" applyBorder="1" applyAlignment="1" applyProtection="1">
      <alignment horizontal="right"/>
      <protection hidden="1"/>
    </xf>
    <xf numFmtId="183" fontId="5" fillId="3" borderId="0" xfId="0" applyNumberFormat="1" applyFont="1" applyFill="1" applyBorder="1" applyAlignment="1" applyProtection="1">
      <alignment horizontal="center"/>
      <protection hidden="1"/>
    </xf>
    <xf numFmtId="0" fontId="4" fillId="5" borderId="0" xfId="0" applyFont="1" applyFill="1" applyBorder="1" applyAlignment="1" applyProtection="1">
      <alignment horizontal="center"/>
      <protection hidden="1" locked="0"/>
    </xf>
    <xf numFmtId="0" fontId="4" fillId="6" borderId="0" xfId="0" applyFont="1" applyFill="1" applyAlignment="1" applyProtection="1">
      <alignment/>
      <protection hidden="1" locked="0"/>
    </xf>
    <xf numFmtId="0" fontId="4" fillId="5" borderId="0" xfId="0" applyFont="1" applyFill="1" applyAlignment="1" applyProtection="1">
      <alignment horizontal="center"/>
      <protection hidden="1" locked="0"/>
    </xf>
    <xf numFmtId="0" fontId="4" fillId="5" borderId="0" xfId="0" applyFont="1" applyFill="1" applyAlignment="1" applyProtection="1">
      <alignment/>
      <protection hidden="1" locked="0"/>
    </xf>
    <xf numFmtId="0" fontId="13" fillId="6" borderId="0" xfId="0" applyFont="1" applyFill="1" applyAlignment="1" applyProtection="1">
      <alignment horizontal="center"/>
      <protection hidden="1" locked="0"/>
    </xf>
    <xf numFmtId="0" fontId="13" fillId="5" borderId="0" xfId="0" applyFont="1" applyFill="1" applyAlignment="1" applyProtection="1">
      <alignment horizontal="center"/>
      <protection hidden="1" locked="0"/>
    </xf>
    <xf numFmtId="0" fontId="13" fillId="5" borderId="0" xfId="0" applyFont="1" applyFill="1" applyAlignment="1" applyProtection="1">
      <alignment/>
      <protection hidden="1" locked="0"/>
    </xf>
    <xf numFmtId="0" fontId="4" fillId="5" borderId="0" xfId="0" applyFont="1" applyFill="1" applyAlignment="1" applyProtection="1">
      <alignment horizontal="left"/>
      <protection hidden="1" locked="0"/>
    </xf>
    <xf numFmtId="0" fontId="4" fillId="6" borderId="0" xfId="0" applyFont="1" applyFill="1" applyBorder="1" applyAlignment="1" applyProtection="1">
      <alignment horizontal="left"/>
      <protection hidden="1" locked="0"/>
    </xf>
    <xf numFmtId="0" fontId="13" fillId="6" borderId="0" xfId="0" applyFont="1" applyFill="1" applyBorder="1" applyAlignment="1" applyProtection="1">
      <alignment horizontal="center"/>
      <protection hidden="1" locked="0"/>
    </xf>
    <xf numFmtId="186" fontId="5" fillId="3" borderId="0" xfId="19" applyNumberFormat="1" applyFont="1" applyFill="1" applyBorder="1" applyAlignment="1" applyProtection="1">
      <alignment horizontal="center"/>
      <protection hidden="1"/>
    </xf>
    <xf numFmtId="0" fontId="29" fillId="0" borderId="0" xfId="0" applyFont="1" applyFill="1" applyAlignment="1" applyProtection="1">
      <alignment horizontal="center"/>
      <protection hidden="1"/>
    </xf>
    <xf numFmtId="0" fontId="7" fillId="0" borderId="0" xfId="0" applyFont="1" applyFill="1" applyAlignment="1" applyProtection="1">
      <alignment horizontal="center"/>
      <protection hidden="1"/>
    </xf>
    <xf numFmtId="0" fontId="13"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1" fontId="0" fillId="2" borderId="20" xfId="0" applyNumberFormat="1" applyFont="1" applyFill="1" applyBorder="1" applyAlignment="1" applyProtection="1">
      <alignment horizontal="center"/>
      <protection hidden="1" locked="0"/>
    </xf>
    <xf numFmtId="183" fontId="5" fillId="3" borderId="0" xfId="0" applyNumberFormat="1" applyFont="1" applyFill="1" applyAlignment="1" applyProtection="1">
      <alignment/>
      <protection hidden="1"/>
    </xf>
    <xf numFmtId="0" fontId="13" fillId="5" borderId="0" xfId="0" applyFont="1" applyFill="1" applyBorder="1" applyAlignment="1" applyProtection="1">
      <alignment horizontal="left"/>
      <protection hidden="1" locked="0"/>
    </xf>
    <xf numFmtId="0" fontId="4" fillId="5" borderId="0" xfId="0" applyFont="1" applyFill="1" applyBorder="1" applyAlignment="1" applyProtection="1">
      <alignment horizontal="left"/>
      <protection hidden="1" locked="0"/>
    </xf>
    <xf numFmtId="181" fontId="0" fillId="3" borderId="0" xfId="0" applyNumberFormat="1" applyFont="1" applyFill="1" applyBorder="1" applyAlignment="1" applyProtection="1">
      <alignment horizontal="right"/>
      <protection hidden="1"/>
    </xf>
    <xf numFmtId="168" fontId="5" fillId="3" borderId="0" xfId="0" applyNumberFormat="1" applyFont="1" applyFill="1" applyBorder="1" applyAlignment="1" applyProtection="1">
      <alignment horizontal="center"/>
      <protection hidden="1"/>
    </xf>
    <xf numFmtId="181" fontId="0" fillId="3" borderId="18" xfId="0" applyNumberFormat="1" applyFill="1" applyBorder="1" applyAlignment="1" applyProtection="1">
      <alignment/>
      <protection hidden="1"/>
    </xf>
    <xf numFmtId="0" fontId="5" fillId="3" borderId="5" xfId="0" applyNumberFormat="1" applyFont="1" applyFill="1" applyBorder="1" applyAlignment="1" applyProtection="1">
      <alignment horizontal="center" vertical="center"/>
      <protection hidden="1"/>
    </xf>
    <xf numFmtId="0" fontId="5" fillId="3" borderId="0" xfId="0" applyFont="1" applyFill="1" applyBorder="1" applyAlignment="1" applyProtection="1">
      <alignment horizontal="left"/>
      <protection hidden="1"/>
    </xf>
    <xf numFmtId="168" fontId="2" fillId="3" borderId="0" xfId="0" applyNumberFormat="1" applyFont="1" applyFill="1" applyBorder="1" applyAlignment="1" applyProtection="1">
      <alignment horizontal="center"/>
      <protection hidden="1"/>
    </xf>
    <xf numFmtId="0" fontId="5" fillId="3" borderId="10" xfId="0" applyFont="1" applyFill="1" applyBorder="1" applyAlignment="1" applyProtection="1">
      <alignment horizontal="right"/>
      <protection hidden="1"/>
    </xf>
    <xf numFmtId="0" fontId="5" fillId="3" borderId="10" xfId="0" applyFont="1" applyFill="1" applyBorder="1" applyAlignment="1" applyProtection="1">
      <alignment horizontal="center"/>
      <protection hidden="1"/>
    </xf>
    <xf numFmtId="168" fontId="0" fillId="3" borderId="19" xfId="0" applyNumberFormat="1" applyFont="1" applyFill="1" applyBorder="1" applyAlignment="1" applyProtection="1">
      <alignment horizontal="center"/>
      <protection hidden="1"/>
    </xf>
    <xf numFmtId="168" fontId="0" fillId="3" borderId="19" xfId="0" applyNumberFormat="1" applyFill="1" applyBorder="1" applyAlignment="1" applyProtection="1">
      <alignment/>
      <protection hidden="1"/>
    </xf>
    <xf numFmtId="0" fontId="13" fillId="0" borderId="0" xfId="0" applyFont="1" applyFill="1" applyBorder="1" applyAlignment="1" applyProtection="1">
      <alignment horizontal="center"/>
      <protection hidden="1" locked="0"/>
    </xf>
    <xf numFmtId="0" fontId="4" fillId="0" borderId="0" xfId="0" applyFont="1" applyFill="1" applyAlignment="1" applyProtection="1">
      <alignment/>
      <protection hidden="1" locked="0"/>
    </xf>
    <xf numFmtId="0" fontId="2" fillId="3" borderId="0" xfId="0" applyFont="1" applyFill="1" applyAlignment="1" applyProtection="1">
      <alignment horizontal="right"/>
      <protection hidden="1"/>
    </xf>
    <xf numFmtId="0" fontId="13" fillId="0" borderId="0" xfId="0" applyFont="1" applyFill="1" applyAlignment="1" applyProtection="1">
      <alignment/>
      <protection hidden="1" locked="0"/>
    </xf>
    <xf numFmtId="0" fontId="5" fillId="2" borderId="5" xfId="0" applyFont="1" applyFill="1" applyBorder="1" applyAlignment="1" applyProtection="1">
      <alignment horizontal="center" vertical="center"/>
      <protection hidden="1" locked="0"/>
    </xf>
    <xf numFmtId="0" fontId="18" fillId="3" borderId="0" xfId="0" applyFont="1" applyFill="1" applyBorder="1" applyAlignment="1" applyProtection="1">
      <alignment/>
      <protection hidden="1"/>
    </xf>
    <xf numFmtId="201" fontId="0" fillId="2" borderId="5" xfId="0" applyNumberFormat="1" applyFill="1" applyBorder="1" applyAlignment="1" applyProtection="1">
      <alignment horizontal="right" vertical="top"/>
      <protection hidden="1" locked="0"/>
    </xf>
    <xf numFmtId="0" fontId="18" fillId="4" borderId="0" xfId="0" applyFont="1" applyFill="1" applyAlignment="1" applyProtection="1">
      <alignment horizontal="center"/>
      <protection hidden="1"/>
    </xf>
    <xf numFmtId="0" fontId="18" fillId="0" borderId="0" xfId="0" applyFont="1" applyAlignment="1" applyProtection="1">
      <alignment horizontal="center"/>
      <protection hidden="1"/>
    </xf>
    <xf numFmtId="0" fontId="5" fillId="2" borderId="0" xfId="0" applyFont="1" applyFill="1" applyBorder="1" applyAlignment="1" applyProtection="1">
      <alignment horizontal="right"/>
      <protection hidden="1"/>
    </xf>
    <xf numFmtId="170" fontId="5" fillId="3" borderId="0" xfId="0" applyNumberFormat="1" applyFont="1" applyFill="1" applyBorder="1" applyAlignment="1" applyProtection="1">
      <alignment horizontal="right"/>
      <protection hidden="1"/>
    </xf>
    <xf numFmtId="0" fontId="13" fillId="6" borderId="0" xfId="0" applyFont="1" applyFill="1" applyBorder="1" applyAlignment="1" applyProtection="1">
      <alignment horizontal="left"/>
      <protection hidden="1" locked="0"/>
    </xf>
    <xf numFmtId="10" fontId="0" fillId="2" borderId="1" xfId="0" applyNumberFormat="1" applyFont="1" applyFill="1" applyBorder="1" applyAlignment="1" applyProtection="1">
      <alignment horizontal="center"/>
      <protection hidden="1" locked="0"/>
    </xf>
    <xf numFmtId="1" fontId="8" fillId="3" borderId="5" xfId="0" applyNumberFormat="1" applyFont="1" applyFill="1" applyBorder="1" applyAlignment="1" applyProtection="1">
      <alignment horizontal="center"/>
      <protection hidden="1"/>
    </xf>
    <xf numFmtId="1" fontId="3" fillId="3" borderId="0" xfId="0" applyNumberFormat="1" applyFont="1" applyFill="1" applyBorder="1" applyAlignment="1" applyProtection="1">
      <alignment horizontal="right"/>
      <protection hidden="1"/>
    </xf>
    <xf numFmtId="168" fontId="0" fillId="2" borderId="20" xfId="20" applyNumberFormat="1" applyFont="1" applyFill="1" applyBorder="1" applyAlignment="1" applyProtection="1">
      <alignment horizontal="right"/>
      <protection hidden="1" locked="0"/>
    </xf>
    <xf numFmtId="168" fontId="5" fillId="3" borderId="10" xfId="0" applyNumberFormat="1" applyFont="1" applyFill="1" applyBorder="1" applyAlignment="1" applyProtection="1">
      <alignment horizontal="right"/>
      <protection hidden="1"/>
    </xf>
    <xf numFmtId="0" fontId="0" fillId="3" borderId="0" xfId="0" applyFill="1" applyBorder="1" applyAlignment="1" applyProtection="1">
      <alignment horizontal="right"/>
      <protection hidden="1"/>
    </xf>
    <xf numFmtId="168" fontId="5" fillId="3" borderId="0" xfId="0" applyNumberFormat="1" applyFont="1" applyFill="1" applyBorder="1" applyAlignment="1" applyProtection="1">
      <alignment horizontal="right"/>
      <protection hidden="1"/>
    </xf>
    <xf numFmtId="168" fontId="2" fillId="3" borderId="0" xfId="0" applyNumberFormat="1" applyFont="1" applyFill="1" applyBorder="1" applyAlignment="1" applyProtection="1">
      <alignment horizontal="right"/>
      <protection hidden="1"/>
    </xf>
    <xf numFmtId="168" fontId="0" fillId="2" borderId="20" xfId="0" applyNumberFormat="1" applyFont="1" applyFill="1" applyBorder="1" applyAlignment="1" applyProtection="1">
      <alignment horizontal="right"/>
      <protection hidden="1" locked="0"/>
    </xf>
    <xf numFmtId="0" fontId="0" fillId="5" borderId="0" xfId="0" applyFill="1" applyAlignment="1" applyProtection="1">
      <alignment/>
      <protection hidden="1"/>
    </xf>
    <xf numFmtId="0" fontId="14" fillId="5" borderId="0" xfId="0" applyFont="1" applyFill="1" applyAlignment="1" applyProtection="1">
      <alignment/>
      <protection hidden="1"/>
    </xf>
    <xf numFmtId="0" fontId="4" fillId="5" borderId="0" xfId="0" applyFont="1" applyFill="1" applyAlignment="1" applyProtection="1">
      <alignment horizontal="center"/>
      <protection hidden="1"/>
    </xf>
    <xf numFmtId="0" fontId="4" fillId="5" borderId="0" xfId="0" applyFont="1" applyFill="1" applyAlignment="1" applyProtection="1">
      <alignment/>
      <protection hidden="1"/>
    </xf>
    <xf numFmtId="0" fontId="5" fillId="5" borderId="0" xfId="0" applyFont="1" applyFill="1" applyAlignment="1" applyProtection="1">
      <alignment/>
      <protection hidden="1"/>
    </xf>
    <xf numFmtId="0" fontId="0" fillId="5" borderId="0" xfId="0" applyFill="1" applyBorder="1" applyAlignment="1" applyProtection="1">
      <alignment/>
      <protection hidden="1"/>
    </xf>
    <xf numFmtId="0" fontId="0" fillId="5" borderId="0" xfId="0" applyFont="1" applyFill="1" applyAlignment="1" applyProtection="1">
      <alignment/>
      <protection hidden="1"/>
    </xf>
    <xf numFmtId="0" fontId="18" fillId="5" borderId="0" xfId="0" applyFont="1" applyFill="1" applyAlignment="1" applyProtection="1">
      <alignment horizontal="center"/>
      <protection hidden="1"/>
    </xf>
    <xf numFmtId="0" fontId="4" fillId="3" borderId="0" xfId="0" applyFont="1" applyFill="1" applyAlignment="1" applyProtection="1">
      <alignment/>
      <protection hidden="1" locked="0"/>
    </xf>
    <xf numFmtId="0" fontId="0" fillId="5" borderId="0" xfId="0" applyFill="1" applyAlignment="1">
      <alignment/>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1" fontId="0" fillId="0" borderId="0" xfId="0" applyNumberFormat="1" applyFont="1" applyFill="1" applyBorder="1" applyAlignment="1" applyProtection="1">
      <alignment horizontal="center"/>
      <protection hidden="1"/>
    </xf>
    <xf numFmtId="185" fontId="0" fillId="2" borderId="5" xfId="0" applyNumberFormat="1" applyFont="1" applyFill="1" applyBorder="1" applyAlignment="1" applyProtection="1">
      <alignment horizontal="right"/>
      <protection hidden="1" locked="0"/>
    </xf>
    <xf numFmtId="0" fontId="2" fillId="2" borderId="0" xfId="0" applyFont="1" applyFill="1" applyAlignment="1" applyProtection="1">
      <alignment horizontal="center"/>
      <protection hidden="1" locked="0"/>
    </xf>
    <xf numFmtId="9" fontId="5" fillId="3" borderId="0" xfId="0" applyNumberFormat="1" applyFont="1" applyFill="1" applyAlignment="1" applyProtection="1">
      <alignment horizontal="left"/>
      <protection hidden="1"/>
    </xf>
    <xf numFmtId="0" fontId="5" fillId="3" borderId="1" xfId="0" applyFont="1" applyFill="1" applyBorder="1" applyAlignment="1" applyProtection="1">
      <alignment horizontal="left"/>
      <protection hidden="1"/>
    </xf>
    <xf numFmtId="0" fontId="4" fillId="0" borderId="0" xfId="0" applyFont="1" applyFill="1" applyAlignment="1" applyProtection="1">
      <alignment/>
      <protection hidden="1"/>
    </xf>
    <xf numFmtId="0" fontId="4" fillId="0" borderId="0" xfId="0" applyFont="1" applyFill="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0" fillId="0" borderId="0" xfId="0" applyFill="1" applyAlignment="1" applyProtection="1">
      <alignment horizontal="left"/>
      <protection hidden="1"/>
    </xf>
    <xf numFmtId="0" fontId="4" fillId="0" borderId="0" xfId="0" applyFont="1" applyFill="1" applyBorder="1" applyAlignment="1" applyProtection="1">
      <alignment/>
      <protection hidden="1"/>
    </xf>
    <xf numFmtId="2" fontId="13" fillId="0" borderId="0" xfId="0" applyNumberFormat="1" applyFont="1" applyFill="1" applyAlignment="1" applyProtection="1">
      <alignment horizontal="center"/>
      <protection hidden="1" locked="0"/>
    </xf>
    <xf numFmtId="2" fontId="13" fillId="0" borderId="0" xfId="0" applyNumberFormat="1" applyFont="1" applyFill="1" applyAlignment="1" applyProtection="1">
      <alignment/>
      <protection hidden="1" locked="0"/>
    </xf>
    <xf numFmtId="0" fontId="5" fillId="3" borderId="9" xfId="0" applyFont="1" applyFill="1" applyBorder="1" applyAlignment="1" applyProtection="1">
      <alignment/>
      <protection hidden="1"/>
    </xf>
    <xf numFmtId="0" fontId="14" fillId="3" borderId="6" xfId="0" applyFont="1" applyFill="1" applyBorder="1" applyAlignment="1" applyProtection="1">
      <alignment/>
      <protection hidden="1"/>
    </xf>
    <xf numFmtId="0" fontId="14" fillId="3" borderId="8" xfId="0" applyFont="1" applyFill="1" applyBorder="1" applyAlignment="1" applyProtection="1">
      <alignment/>
      <protection hidden="1"/>
    </xf>
    <xf numFmtId="0" fontId="5" fillId="3" borderId="5" xfId="0" applyFont="1" applyFill="1" applyBorder="1" applyAlignment="1">
      <alignment horizontal="center"/>
    </xf>
    <xf numFmtId="0" fontId="14"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Alignment="1" applyProtection="1">
      <alignment horizontal="center"/>
      <protection hidden="1"/>
    </xf>
    <xf numFmtId="0" fontId="0" fillId="0" borderId="0" xfId="0" applyFont="1" applyFill="1" applyBorder="1" applyAlignment="1" applyProtection="1">
      <alignment horizontal="center"/>
      <protection hidden="1"/>
    </xf>
    <xf numFmtId="168" fontId="0" fillId="0" borderId="0" xfId="0" applyNumberFormat="1"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0" fillId="5" borderId="0" xfId="0" applyFill="1" applyBorder="1" applyAlignment="1" applyProtection="1">
      <alignment horizontal="left"/>
      <protection hidden="1"/>
    </xf>
    <xf numFmtId="0" fontId="13" fillId="5"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0" fontId="40" fillId="5" borderId="0" xfId="0" applyFont="1" applyFill="1" applyAlignment="1" applyProtection="1">
      <alignment/>
      <protection hidden="1"/>
    </xf>
    <xf numFmtId="0" fontId="5" fillId="3" borderId="0" xfId="0" applyFont="1" applyFill="1" applyAlignment="1">
      <alignment horizontal="right"/>
    </xf>
    <xf numFmtId="206" fontId="5" fillId="3" borderId="0" xfId="0" applyNumberFormat="1" applyFont="1" applyFill="1" applyAlignment="1" applyProtection="1">
      <alignment horizontal="center"/>
      <protection hidden="1"/>
    </xf>
    <xf numFmtId="206" fontId="0" fillId="3" borderId="0" xfId="0" applyNumberFormat="1" applyFill="1" applyAlignment="1" applyProtection="1">
      <alignment/>
      <protection hidden="1"/>
    </xf>
    <xf numFmtId="0" fontId="13" fillId="3" borderId="0" xfId="0" applyFont="1" applyFill="1" applyAlignment="1" applyProtection="1">
      <alignment horizontal="left"/>
      <protection hidden="1"/>
    </xf>
    <xf numFmtId="171" fontId="13" fillId="5" borderId="0" xfId="0" applyNumberFormat="1" applyFont="1" applyFill="1" applyAlignment="1" applyProtection="1">
      <alignment horizontal="center"/>
      <protection hidden="1" locked="0"/>
    </xf>
    <xf numFmtId="0" fontId="8" fillId="3" borderId="21"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207" fontId="2" fillId="3" borderId="0" xfId="0" applyNumberFormat="1" applyFont="1" applyFill="1" applyBorder="1" applyAlignment="1" applyProtection="1">
      <alignment horizontal="center"/>
      <protection hidden="1"/>
    </xf>
    <xf numFmtId="207" fontId="0" fillId="3" borderId="0" xfId="0" applyNumberFormat="1" applyFont="1" applyFill="1" applyBorder="1" applyAlignment="1" applyProtection="1">
      <alignment horizontal="center"/>
      <protection hidden="1"/>
    </xf>
    <xf numFmtId="0" fontId="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168" fontId="4" fillId="0" borderId="0" xfId="0" applyNumberFormat="1" applyFont="1" applyFill="1" applyAlignment="1" applyProtection="1">
      <alignment/>
      <protection hidden="1"/>
    </xf>
    <xf numFmtId="0" fontId="18" fillId="3" borderId="0" xfId="0" applyFont="1" applyFill="1" applyAlignment="1" applyProtection="1">
      <alignment/>
      <protection hidden="1"/>
    </xf>
    <xf numFmtId="0" fontId="12" fillId="3" borderId="0" xfId="0" applyFont="1" applyFill="1" applyAlignment="1" applyProtection="1">
      <alignment/>
      <protection hidden="1"/>
    </xf>
    <xf numFmtId="0" fontId="2" fillId="3" borderId="0" xfId="0" applyFont="1" applyFill="1" applyAlignment="1" applyProtection="1">
      <alignment horizontal="center"/>
      <protection hidden="1"/>
    </xf>
    <xf numFmtId="0" fontId="0" fillId="3" borderId="0" xfId="0" applyFill="1" applyAlignment="1" applyProtection="1" quotePrefix="1">
      <alignment/>
      <protection hidden="1"/>
    </xf>
    <xf numFmtId="0" fontId="0" fillId="3" borderId="0" xfId="0" applyFont="1" applyFill="1" applyAlignment="1" applyProtection="1" quotePrefix="1">
      <alignment/>
      <protection hidden="1"/>
    </xf>
    <xf numFmtId="168" fontId="0" fillId="3" borderId="0" xfId="0" applyNumberFormat="1" applyFont="1" applyFill="1" applyAlignment="1" applyProtection="1">
      <alignment/>
      <protection hidden="1"/>
    </xf>
    <xf numFmtId="0" fontId="14" fillId="3" borderId="0" xfId="0" applyFont="1" applyFill="1" applyAlignment="1" applyProtection="1">
      <alignment horizontal="right"/>
      <protection hidden="1"/>
    </xf>
    <xf numFmtId="3" fontId="0" fillId="3" borderId="0" xfId="0" applyNumberFormat="1" applyFill="1" applyAlignment="1" applyProtection="1">
      <alignment horizontal="center"/>
      <protection hidden="1"/>
    </xf>
    <xf numFmtId="0" fontId="7" fillId="3" borderId="0" xfId="0" applyFont="1" applyFill="1" applyAlignment="1" applyProtection="1" quotePrefix="1">
      <alignment/>
      <protection hidden="1"/>
    </xf>
    <xf numFmtId="0" fontId="32" fillId="3" borderId="0" xfId="0" applyFont="1" applyFill="1" applyAlignment="1" applyProtection="1">
      <alignment/>
      <protection hidden="1"/>
    </xf>
    <xf numFmtId="168" fontId="7" fillId="3" borderId="23" xfId="0" applyNumberFormat="1" applyFont="1" applyFill="1" applyBorder="1" applyAlignment="1" applyProtection="1">
      <alignment horizontal="right"/>
      <protection hidden="1"/>
    </xf>
    <xf numFmtId="0" fontId="0" fillId="3" borderId="5" xfId="0" applyFill="1" applyBorder="1" applyAlignment="1" applyProtection="1">
      <alignment horizontal="left" vertical="top"/>
      <protection hidden="1"/>
    </xf>
    <xf numFmtId="0" fontId="0" fillId="3" borderId="5" xfId="0" applyFill="1" applyBorder="1" applyAlignment="1" applyProtection="1">
      <alignment horizontal="right" vertical="top"/>
      <protection hidden="1"/>
    </xf>
    <xf numFmtId="0" fontId="0" fillId="3" borderId="5" xfId="0" applyFill="1" applyBorder="1" applyAlignment="1" applyProtection="1">
      <alignment horizontal="center" vertical="top"/>
      <protection hidden="1"/>
    </xf>
    <xf numFmtId="0" fontId="0" fillId="3" borderId="5" xfId="0" applyFill="1" applyBorder="1" applyAlignment="1" applyProtection="1" quotePrefix="1">
      <alignment horizontal="right"/>
      <protection hidden="1"/>
    </xf>
    <xf numFmtId="201" fontId="0" fillId="3" borderId="5" xfId="0" applyNumberFormat="1" applyFill="1" applyBorder="1" applyAlignment="1" applyProtection="1">
      <alignment horizontal="right" vertical="top"/>
      <protection hidden="1"/>
    </xf>
    <xf numFmtId="201" fontId="0" fillId="3" borderId="5" xfId="0" applyNumberFormat="1" applyFill="1" applyBorder="1" applyAlignment="1" applyProtection="1">
      <alignment horizontal="right"/>
      <protection hidden="1"/>
    </xf>
    <xf numFmtId="1" fontId="0" fillId="3" borderId="5" xfId="0" applyNumberFormat="1" applyFill="1" applyBorder="1" applyAlignment="1" applyProtection="1">
      <alignment horizontal="center" vertical="top"/>
      <protection hidden="1"/>
    </xf>
    <xf numFmtId="0" fontId="5" fillId="3" borderId="6" xfId="0" applyFont="1" applyFill="1" applyBorder="1" applyAlignment="1" applyProtection="1">
      <alignment horizontal="center" vertical="top"/>
      <protection hidden="1"/>
    </xf>
    <xf numFmtId="0" fontId="5" fillId="3" borderId="8" xfId="0" applyFont="1" applyFill="1" applyBorder="1" applyAlignment="1" applyProtection="1">
      <alignment horizontal="center" vertical="top"/>
      <protection hidden="1"/>
    </xf>
    <xf numFmtId="168" fontId="0" fillId="3" borderId="5" xfId="0" applyNumberFormat="1" applyFill="1" applyBorder="1" applyAlignment="1" applyProtection="1">
      <alignment horizontal="center" vertical="top"/>
      <protection hidden="1"/>
    </xf>
    <xf numFmtId="201" fontId="0" fillId="3" borderId="5" xfId="0" applyNumberFormat="1" applyFill="1" applyBorder="1" applyAlignment="1" applyProtection="1">
      <alignment horizontal="center" vertical="top"/>
      <protection hidden="1"/>
    </xf>
    <xf numFmtId="168" fontId="2" fillId="3" borderId="5" xfId="0" applyNumberFormat="1" applyFont="1" applyFill="1" applyBorder="1" applyAlignment="1" applyProtection="1">
      <alignment horizontal="center" vertical="top"/>
      <protection hidden="1"/>
    </xf>
    <xf numFmtId="0" fontId="5" fillId="0" borderId="0" xfId="0" applyFont="1" applyFill="1" applyAlignment="1" applyProtection="1">
      <alignment/>
      <protection hidden="1"/>
    </xf>
    <xf numFmtId="0" fontId="4" fillId="3" borderId="0" xfId="0" applyFont="1" applyFill="1" applyAlignment="1" applyProtection="1">
      <alignment/>
      <protection hidden="1"/>
    </xf>
    <xf numFmtId="0" fontId="43" fillId="0" borderId="0" xfId="0" applyFont="1" applyFill="1" applyAlignment="1" applyProtection="1">
      <alignment/>
      <protection hidden="1"/>
    </xf>
    <xf numFmtId="0" fontId="43" fillId="5" borderId="0" xfId="0" applyFont="1" applyFill="1" applyAlignment="1" applyProtection="1">
      <alignment/>
      <protection hidden="1"/>
    </xf>
    <xf numFmtId="0" fontId="4" fillId="0" borderId="0" xfId="0" applyFont="1" applyFill="1" applyBorder="1" applyAlignment="1" applyProtection="1">
      <alignment horizontal="left"/>
      <protection hidden="1" locked="0"/>
    </xf>
    <xf numFmtId="208" fontId="5" fillId="3" borderId="1" xfId="0" applyNumberFormat="1" applyFont="1" applyFill="1" applyBorder="1" applyAlignment="1" applyProtection="1">
      <alignment horizontal="left"/>
      <protection hidden="1"/>
    </xf>
    <xf numFmtId="209" fontId="5" fillId="3" borderId="1" xfId="0" applyNumberFormat="1" applyFont="1" applyFill="1" applyBorder="1" applyAlignment="1" applyProtection="1">
      <alignment horizontal="left"/>
      <protection hidden="1"/>
    </xf>
    <xf numFmtId="9" fontId="5" fillId="3" borderId="0" xfId="0" applyNumberFormat="1" applyFont="1" applyFill="1" applyAlignment="1" applyProtection="1">
      <alignment/>
      <protection hidden="1"/>
    </xf>
    <xf numFmtId="1" fontId="5" fillId="3" borderId="0" xfId="0" applyNumberFormat="1" applyFont="1" applyFill="1" applyBorder="1" applyAlignment="1" applyProtection="1">
      <alignment horizontal="center"/>
      <protection hidden="1"/>
    </xf>
    <xf numFmtId="168" fontId="0" fillId="2" borderId="1" xfId="0" applyNumberFormat="1" applyFont="1" applyFill="1" applyBorder="1" applyAlignment="1" applyProtection="1">
      <alignment horizontal="center"/>
      <protection hidden="1" locked="0"/>
    </xf>
    <xf numFmtId="0" fontId="0" fillId="0" borderId="0" xfId="0" applyFill="1" applyAlignment="1">
      <alignment/>
    </xf>
    <xf numFmtId="1" fontId="5" fillId="3" borderId="5" xfId="0" applyNumberFormat="1" applyFont="1" applyFill="1" applyBorder="1" applyAlignment="1" applyProtection="1">
      <alignment horizontal="center"/>
      <protection hidden="1"/>
    </xf>
    <xf numFmtId="17" fontId="5" fillId="3" borderId="1" xfId="0" applyNumberFormat="1" applyFont="1" applyFill="1" applyBorder="1" applyAlignment="1" applyProtection="1">
      <alignment horizontal="center"/>
      <protection hidden="1"/>
    </xf>
    <xf numFmtId="0" fontId="18" fillId="5" borderId="0" xfId="0" applyFont="1" applyFill="1" applyAlignment="1" applyProtection="1">
      <alignment horizontal="right"/>
      <protection hidden="1"/>
    </xf>
    <xf numFmtId="0" fontId="18" fillId="5" borderId="0" xfId="0" applyFont="1" applyFill="1" applyAlignment="1" applyProtection="1">
      <alignment/>
      <protection hidden="1"/>
    </xf>
    <xf numFmtId="0" fontId="8" fillId="5" borderId="0" xfId="0" applyFont="1" applyFill="1" applyAlignment="1" applyProtection="1">
      <alignment horizontal="right"/>
      <protection hidden="1"/>
    </xf>
    <xf numFmtId="168" fontId="2" fillId="5" borderId="0" xfId="0" applyNumberFormat="1" applyFont="1" applyFill="1" applyAlignment="1" applyProtection="1">
      <alignment/>
      <protection hidden="1"/>
    </xf>
    <xf numFmtId="0" fontId="5" fillId="5" borderId="0" xfId="0" applyFont="1" applyFill="1" applyAlignment="1" applyProtection="1">
      <alignment horizontal="right"/>
      <protection hidden="1"/>
    </xf>
    <xf numFmtId="168" fontId="5" fillId="5" borderId="0" xfId="0" applyNumberFormat="1" applyFont="1" applyFill="1" applyAlignment="1" applyProtection="1">
      <alignment horizontal="left"/>
      <protection hidden="1"/>
    </xf>
    <xf numFmtId="0" fontId="5" fillId="5" borderId="0" xfId="0" applyFont="1" applyFill="1" applyBorder="1" applyAlignment="1" applyProtection="1">
      <alignment horizontal="left"/>
      <protection hidden="1"/>
    </xf>
    <xf numFmtId="0" fontId="5" fillId="5" borderId="0" xfId="0" applyFont="1" applyFill="1" applyBorder="1" applyAlignment="1" applyProtection="1">
      <alignment/>
      <protection hidden="1"/>
    </xf>
    <xf numFmtId="0" fontId="4" fillId="5" borderId="0" xfId="0" applyFont="1" applyFill="1" applyAlignment="1" applyProtection="1">
      <alignment horizontal="left"/>
      <protection hidden="1"/>
    </xf>
    <xf numFmtId="0" fontId="5" fillId="5" borderId="0" xfId="0" applyFont="1" applyFill="1" applyAlignment="1" applyProtection="1">
      <alignment horizontal="center"/>
      <protection hidden="1"/>
    </xf>
    <xf numFmtId="0" fontId="4" fillId="5" borderId="0" xfId="0" applyFont="1" applyFill="1" applyAlignment="1" applyProtection="1">
      <alignment horizontal="right"/>
      <protection hidden="1"/>
    </xf>
    <xf numFmtId="0" fontId="7" fillId="5" borderId="0" xfId="0" applyFont="1" applyFill="1" applyAlignment="1" applyProtection="1">
      <alignment horizontal="center"/>
      <protection hidden="1"/>
    </xf>
    <xf numFmtId="0" fontId="8" fillId="5" borderId="0" xfId="0" applyFont="1" applyFill="1" applyAlignment="1" applyProtection="1">
      <alignment horizontal="center"/>
      <protection hidden="1"/>
    </xf>
    <xf numFmtId="0" fontId="13" fillId="5" borderId="0" xfId="0" applyFont="1" applyFill="1" applyAlignment="1" applyProtection="1">
      <alignment horizontal="left"/>
      <protection hidden="1"/>
    </xf>
    <xf numFmtId="0" fontId="15" fillId="5" borderId="0" xfId="0" applyFont="1" applyFill="1" applyBorder="1" applyAlignment="1" applyProtection="1">
      <alignment/>
      <protection hidden="1"/>
    </xf>
    <xf numFmtId="0" fontId="44" fillId="5" borderId="0" xfId="0" applyFont="1" applyFill="1" applyBorder="1" applyAlignment="1" applyProtection="1" quotePrefix="1">
      <alignment/>
      <protection hidden="1"/>
    </xf>
    <xf numFmtId="0" fontId="41" fillId="5" borderId="0" xfId="0" applyFont="1" applyFill="1" applyAlignment="1" applyProtection="1">
      <alignment/>
      <protection hidden="1"/>
    </xf>
    <xf numFmtId="0" fontId="41" fillId="5" borderId="0" xfId="0" applyFont="1" applyFill="1" applyAlignment="1" applyProtection="1">
      <alignment horizontal="center"/>
      <protection hidden="1"/>
    </xf>
    <xf numFmtId="0" fontId="13" fillId="5" borderId="0" xfId="0" applyFont="1" applyFill="1" applyAlignment="1" applyProtection="1">
      <alignment/>
      <protection hidden="1"/>
    </xf>
    <xf numFmtId="0" fontId="0" fillId="5" borderId="0" xfId="0" applyFill="1" applyAlignment="1" applyProtection="1" quotePrefix="1">
      <alignment horizontal="right"/>
      <protection hidden="1"/>
    </xf>
    <xf numFmtId="0" fontId="33" fillId="5" borderId="0" xfId="18" applyFill="1" applyAlignment="1" applyProtection="1">
      <alignment/>
      <protection hidden="1"/>
    </xf>
    <xf numFmtId="0" fontId="31" fillId="5" borderId="0" xfId="0" applyFont="1" applyFill="1" applyAlignment="1" applyProtection="1">
      <alignment horizontal="center"/>
      <protection hidden="1"/>
    </xf>
    <xf numFmtId="0" fontId="14" fillId="5" borderId="0" xfId="0" applyFont="1" applyFill="1" applyAlignment="1" applyProtection="1" quotePrefix="1">
      <alignment/>
      <protection hidden="1"/>
    </xf>
    <xf numFmtId="0" fontId="15" fillId="5" borderId="0" xfId="0" applyFont="1" applyFill="1" applyAlignment="1" applyProtection="1">
      <alignment/>
      <protection hidden="1"/>
    </xf>
    <xf numFmtId="0" fontId="2" fillId="5" borderId="0" xfId="0" applyFont="1" applyFill="1" applyAlignment="1" applyProtection="1" quotePrefix="1">
      <alignment horizontal="center"/>
      <protection hidden="1"/>
    </xf>
    <xf numFmtId="0" fontId="2" fillId="5" borderId="0" xfId="0" applyFont="1" applyFill="1" applyAlignment="1" applyProtection="1">
      <alignment horizontal="center"/>
      <protection hidden="1"/>
    </xf>
    <xf numFmtId="0" fontId="2" fillId="5" borderId="0" xfId="0" applyFont="1" applyFill="1" applyAlignment="1" applyProtection="1">
      <alignment/>
      <protection hidden="1"/>
    </xf>
    <xf numFmtId="0" fontId="8" fillId="5" borderId="0" xfId="0" applyFont="1" applyFill="1" applyBorder="1" applyAlignment="1" applyProtection="1">
      <alignment horizontal="center"/>
      <protection hidden="1"/>
    </xf>
    <xf numFmtId="49" fontId="5" fillId="5" borderId="0" xfId="0" applyNumberFormat="1" applyFont="1" applyFill="1" applyBorder="1" applyAlignment="1" applyProtection="1">
      <alignment/>
      <protection hidden="1"/>
    </xf>
    <xf numFmtId="49" fontId="5" fillId="5" borderId="0" xfId="0" applyNumberFormat="1" applyFont="1" applyFill="1" applyBorder="1" applyAlignment="1" applyProtection="1">
      <alignment horizontal="center"/>
      <protection hidden="1"/>
    </xf>
    <xf numFmtId="17" fontId="5" fillId="5" borderId="0" xfId="0" applyNumberFormat="1" applyFont="1" applyFill="1" applyBorder="1" applyAlignment="1" applyProtection="1" quotePrefix="1">
      <alignment horizontal="center"/>
      <protection hidden="1"/>
    </xf>
    <xf numFmtId="0" fontId="3" fillId="5" borderId="0" xfId="0" applyFont="1" applyFill="1" applyBorder="1" applyAlignment="1" applyProtection="1">
      <alignment horizontal="right"/>
      <protection hidden="1"/>
    </xf>
    <xf numFmtId="0" fontId="18" fillId="5" borderId="0" xfId="0" applyFont="1" applyFill="1" applyBorder="1" applyAlignment="1" applyProtection="1">
      <alignment/>
      <protection hidden="1"/>
    </xf>
    <xf numFmtId="181" fontId="3" fillId="5" borderId="0" xfId="0" applyNumberFormat="1" applyFont="1" applyFill="1" applyBorder="1" applyAlignment="1" applyProtection="1">
      <alignment horizontal="right"/>
      <protection hidden="1"/>
    </xf>
    <xf numFmtId="0" fontId="8" fillId="5" borderId="0" xfId="0" applyFont="1" applyFill="1" applyBorder="1" applyAlignment="1" applyProtection="1">
      <alignment horizontal="right"/>
      <protection hidden="1"/>
    </xf>
    <xf numFmtId="0" fontId="3" fillId="5" borderId="0" xfId="0" applyFont="1" applyFill="1" applyAlignment="1" applyProtection="1">
      <alignment horizontal="right"/>
      <protection hidden="1"/>
    </xf>
    <xf numFmtId="44" fontId="0" fillId="5" borderId="0" xfId="0" applyNumberFormat="1" applyFill="1" applyBorder="1" applyAlignment="1" applyProtection="1">
      <alignment/>
      <protection hidden="1"/>
    </xf>
    <xf numFmtId="0" fontId="5" fillId="5" borderId="0" xfId="0" applyNumberFormat="1" applyFont="1" applyFill="1" applyBorder="1" applyAlignment="1" applyProtection="1">
      <alignment horizontal="center"/>
      <protection hidden="1"/>
    </xf>
    <xf numFmtId="9" fontId="5" fillId="5" borderId="0" xfId="19" applyFont="1" applyFill="1" applyBorder="1" applyAlignment="1" applyProtection="1">
      <alignment horizontal="center"/>
      <protection hidden="1"/>
    </xf>
    <xf numFmtId="181" fontId="0" fillId="5" borderId="0" xfId="0" applyNumberFormat="1" applyFill="1" applyBorder="1" applyAlignment="1" applyProtection="1">
      <alignment/>
      <protection hidden="1"/>
    </xf>
    <xf numFmtId="168" fontId="2" fillId="5" borderId="0" xfId="0" applyNumberFormat="1" applyFont="1" applyFill="1" applyBorder="1" applyAlignment="1" applyProtection="1">
      <alignment/>
      <protection hidden="1"/>
    </xf>
    <xf numFmtId="0" fontId="5" fillId="5" borderId="0" xfId="0" applyFont="1" applyFill="1" applyBorder="1" applyAlignment="1" applyProtection="1">
      <alignment horizontal="center"/>
      <protection hidden="1"/>
    </xf>
    <xf numFmtId="49" fontId="8" fillId="5" borderId="0" xfId="0" applyNumberFormat="1" applyFont="1" applyFill="1" applyBorder="1" applyAlignment="1" applyProtection="1">
      <alignment horizontal="center"/>
      <protection hidden="1"/>
    </xf>
    <xf numFmtId="187" fontId="0" fillId="5" borderId="0" xfId="0" applyNumberFormat="1" applyFont="1" applyFill="1" applyBorder="1" applyAlignment="1" applyProtection="1">
      <alignment horizontal="right"/>
      <protection hidden="1"/>
    </xf>
    <xf numFmtId="0" fontId="8" fillId="5" borderId="0" xfId="0" applyFont="1" applyFill="1" applyBorder="1" applyAlignment="1" applyProtection="1">
      <alignment/>
      <protection hidden="1"/>
    </xf>
    <xf numFmtId="0" fontId="0" fillId="5" borderId="0" xfId="0" applyFill="1" applyBorder="1" applyAlignment="1" applyProtection="1">
      <alignment/>
      <protection hidden="1"/>
    </xf>
    <xf numFmtId="168" fontId="8" fillId="5" borderId="0" xfId="0" applyNumberFormat="1" applyFont="1" applyFill="1" applyBorder="1" applyAlignment="1" applyProtection="1">
      <alignment horizontal="center"/>
      <protection hidden="1"/>
    </xf>
    <xf numFmtId="168" fontId="5" fillId="5" borderId="0" xfId="0" applyNumberFormat="1" applyFont="1" applyFill="1" applyBorder="1" applyAlignment="1" applyProtection="1">
      <alignment horizontal="left"/>
      <protection hidden="1"/>
    </xf>
    <xf numFmtId="0" fontId="42" fillId="5" borderId="0" xfId="0" applyFont="1" applyFill="1" applyAlignment="1" applyProtection="1">
      <alignment/>
      <protection hidden="1"/>
    </xf>
    <xf numFmtId="0" fontId="4" fillId="5" borderId="0" xfId="0" applyFont="1" applyFill="1" applyBorder="1" applyAlignment="1" applyProtection="1">
      <alignment horizontal="center"/>
      <protection hidden="1"/>
    </xf>
    <xf numFmtId="0" fontId="39" fillId="3" borderId="0" xfId="0" applyFont="1" applyFill="1" applyAlignment="1" applyProtection="1">
      <alignment horizontal="left"/>
      <protection hidden="1"/>
    </xf>
    <xf numFmtId="181" fontId="5" fillId="3" borderId="0" xfId="0" applyNumberFormat="1" applyFont="1" applyFill="1" applyBorder="1" applyAlignment="1" applyProtection="1">
      <alignment horizontal="left"/>
      <protection hidden="1"/>
    </xf>
    <xf numFmtId="0" fontId="0" fillId="5" borderId="5" xfId="0" applyFont="1" applyFill="1" applyBorder="1" applyAlignment="1" applyProtection="1">
      <alignment/>
      <protection hidden="1"/>
    </xf>
    <xf numFmtId="0" fontId="12" fillId="5" borderId="5" xfId="0" applyFont="1" applyFill="1" applyBorder="1" applyAlignment="1" applyProtection="1">
      <alignment/>
      <protection hidden="1"/>
    </xf>
    <xf numFmtId="0" fontId="0" fillId="5" borderId="20" xfId="0" applyFill="1" applyBorder="1" applyAlignment="1" applyProtection="1">
      <alignment/>
      <protection hidden="1"/>
    </xf>
    <xf numFmtId="0" fontId="7" fillId="5" borderId="0" xfId="0" applyFont="1" applyFill="1" applyAlignment="1" applyProtection="1">
      <alignment horizontal="left"/>
      <protection hidden="1"/>
    </xf>
    <xf numFmtId="0" fontId="6" fillId="5" borderId="0" xfId="0" applyFont="1" applyFill="1" applyAlignment="1" applyProtection="1" quotePrefix="1">
      <alignment horizontal="center"/>
      <protection hidden="1"/>
    </xf>
    <xf numFmtId="0" fontId="0" fillId="5" borderId="0" xfId="0" applyFill="1" applyAlignment="1" applyProtection="1">
      <alignment/>
      <protection hidden="1"/>
    </xf>
    <xf numFmtId="0" fontId="10" fillId="5" borderId="0" xfId="0" applyFont="1" applyFill="1" applyAlignment="1" applyProtection="1" quotePrefix="1">
      <alignment/>
      <protection hidden="1"/>
    </xf>
    <xf numFmtId="0" fontId="3" fillId="5" borderId="5" xfId="0" applyFont="1" applyFill="1" applyBorder="1" applyAlignment="1" applyProtection="1">
      <alignment horizontal="center"/>
      <protection hidden="1"/>
    </xf>
    <xf numFmtId="0" fontId="3" fillId="5" borderId="14" xfId="0" applyFont="1" applyFill="1" applyBorder="1" applyAlignment="1" applyProtection="1">
      <alignment horizontal="right"/>
      <protection hidden="1"/>
    </xf>
    <xf numFmtId="0" fontId="6" fillId="5" borderId="0" xfId="0" applyFont="1" applyFill="1" applyAlignment="1" applyProtection="1">
      <alignment/>
      <protection hidden="1"/>
    </xf>
    <xf numFmtId="0" fontId="10" fillId="5" borderId="0" xfId="0" applyFont="1" applyFill="1" applyAlignment="1" applyProtection="1">
      <alignment horizontal="right"/>
      <protection hidden="1"/>
    </xf>
    <xf numFmtId="0" fontId="0" fillId="5" borderId="0" xfId="0" applyFill="1" applyAlignment="1" applyProtection="1">
      <alignment horizontal="right"/>
      <protection hidden="1"/>
    </xf>
    <xf numFmtId="168" fontId="5" fillId="5" borderId="0" xfId="0" applyNumberFormat="1" applyFont="1" applyFill="1" applyAlignment="1" applyProtection="1">
      <alignment/>
      <protection hidden="1"/>
    </xf>
    <xf numFmtId="0" fontId="5" fillId="3" borderId="6" xfId="0" applyFont="1" applyFill="1" applyBorder="1" applyAlignment="1" applyProtection="1">
      <alignment horizontal="center"/>
      <protection hidden="1"/>
    </xf>
    <xf numFmtId="0" fontId="2" fillId="5" borderId="0" xfId="0" applyFont="1" applyFill="1" applyAlignment="1" applyProtection="1">
      <alignment/>
      <protection hidden="1"/>
    </xf>
    <xf numFmtId="0" fontId="8" fillId="5" borderId="0" xfId="0" applyFont="1" applyFill="1" applyAlignment="1" applyProtection="1">
      <alignment/>
      <protection hidden="1"/>
    </xf>
    <xf numFmtId="168" fontId="2" fillId="5" borderId="0" xfId="0" applyNumberFormat="1" applyFont="1" applyFill="1" applyAlignment="1" applyProtection="1">
      <alignment horizontal="right"/>
      <protection hidden="1"/>
    </xf>
    <xf numFmtId="181" fontId="2" fillId="5" borderId="0" xfId="0" applyNumberFormat="1" applyFont="1" applyFill="1" applyBorder="1" applyAlignment="1" applyProtection="1">
      <alignment horizontal="right"/>
      <protection hidden="1"/>
    </xf>
    <xf numFmtId="168" fontId="0" fillId="5" borderId="0" xfId="0" applyNumberFormat="1" applyFont="1" applyFill="1" applyBorder="1" applyAlignment="1" applyProtection="1">
      <alignment horizontal="right"/>
      <protection hidden="1"/>
    </xf>
    <xf numFmtId="0" fontId="5" fillId="5" borderId="0" xfId="0" applyFont="1" applyFill="1" applyAlignment="1" applyProtection="1" quotePrefix="1">
      <alignment horizontal="left"/>
      <protection hidden="1"/>
    </xf>
    <xf numFmtId="168" fontId="0" fillId="5" borderId="19" xfId="0" applyNumberFormat="1" applyFont="1" applyFill="1" applyBorder="1" applyAlignment="1" applyProtection="1">
      <alignment horizontal="right"/>
      <protection hidden="1"/>
    </xf>
    <xf numFmtId="168" fontId="0" fillId="5" borderId="19" xfId="0" applyNumberFormat="1" applyFill="1" applyBorder="1" applyAlignment="1" applyProtection="1">
      <alignment horizontal="right"/>
      <protection hidden="1"/>
    </xf>
    <xf numFmtId="0" fontId="14" fillId="5" borderId="0" xfId="0" applyFont="1" applyFill="1" applyAlignment="1" applyProtection="1">
      <alignment horizontal="left" vertical="top"/>
      <protection hidden="1"/>
    </xf>
    <xf numFmtId="0" fontId="0" fillId="5" borderId="0" xfId="0" applyFill="1" applyAlignment="1" applyProtection="1">
      <alignment horizontal="left" vertical="top"/>
      <protection hidden="1"/>
    </xf>
    <xf numFmtId="0" fontId="15" fillId="5" borderId="0" xfId="0" applyFont="1" applyFill="1" applyAlignment="1" applyProtection="1">
      <alignment horizontal="center"/>
      <protection hidden="1"/>
    </xf>
    <xf numFmtId="0" fontId="20" fillId="5" borderId="0" xfId="0" applyFont="1" applyFill="1" applyAlignment="1" applyProtection="1">
      <alignment/>
      <protection hidden="1"/>
    </xf>
    <xf numFmtId="0" fontId="15" fillId="5" borderId="0" xfId="0" applyFont="1" applyFill="1" applyBorder="1" applyAlignment="1" applyProtection="1">
      <alignment horizontal="center"/>
      <protection hidden="1"/>
    </xf>
    <xf numFmtId="0" fontId="12" fillId="5" borderId="0" xfId="0" applyFont="1" applyFill="1" applyAlignment="1" applyProtection="1">
      <alignment/>
      <protection hidden="1"/>
    </xf>
    <xf numFmtId="0" fontId="0" fillId="5" borderId="15" xfId="0" applyFill="1" applyBorder="1" applyAlignment="1" applyProtection="1">
      <alignment/>
      <protection hidden="1"/>
    </xf>
    <xf numFmtId="0" fontId="0" fillId="5" borderId="0" xfId="0" applyFill="1" applyAlignment="1" applyProtection="1">
      <alignment horizontal="right" vertical="top"/>
      <protection hidden="1"/>
    </xf>
    <xf numFmtId="201" fontId="0" fillId="5" borderId="0" xfId="0" applyNumberFormat="1" applyFill="1" applyAlignment="1" applyProtection="1">
      <alignment horizontal="right"/>
      <protection hidden="1"/>
    </xf>
    <xf numFmtId="201" fontId="0" fillId="5" borderId="0" xfId="0" applyNumberFormat="1" applyFill="1" applyAlignment="1" applyProtection="1">
      <alignment horizontal="center" vertical="top"/>
      <protection hidden="1"/>
    </xf>
    <xf numFmtId="168" fontId="0" fillId="5" borderId="0" xfId="0" applyNumberFormat="1" applyFill="1" applyAlignment="1" applyProtection="1">
      <alignment horizontal="left" vertical="top"/>
      <protection hidden="1"/>
    </xf>
    <xf numFmtId="0" fontId="13" fillId="5" borderId="0" xfId="0" applyFont="1" applyFill="1" applyAlignment="1" applyProtection="1">
      <alignment/>
      <protection hidden="1" locked="0"/>
    </xf>
    <xf numFmtId="0" fontId="4" fillId="5" borderId="0" xfId="0" applyFont="1" applyFill="1" applyAlignment="1" applyProtection="1">
      <alignment/>
      <protection hidden="1" locked="0"/>
    </xf>
    <xf numFmtId="0" fontId="3" fillId="5" borderId="5" xfId="0" applyFont="1" applyFill="1" applyBorder="1" applyAlignment="1" applyProtection="1">
      <alignment/>
      <protection hidden="1"/>
    </xf>
    <xf numFmtId="0" fontId="3" fillId="5" borderId="5" xfId="0" applyFont="1" applyFill="1" applyBorder="1" applyAlignment="1" applyProtection="1">
      <alignment/>
      <protection hidden="1"/>
    </xf>
    <xf numFmtId="0" fontId="2" fillId="5" borderId="0" xfId="0" applyFont="1" applyFill="1" applyBorder="1" applyAlignment="1" applyProtection="1">
      <alignment horizontal="center"/>
      <protection hidden="1"/>
    </xf>
    <xf numFmtId="168" fontId="0" fillId="5" borderId="0" xfId="0" applyNumberFormat="1" applyFill="1" applyBorder="1" applyAlignment="1" applyProtection="1">
      <alignment/>
      <protection hidden="1"/>
    </xf>
    <xf numFmtId="168" fontId="0" fillId="5" borderId="0" xfId="19" applyNumberFormat="1" applyFill="1" applyBorder="1" applyAlignment="1" applyProtection="1">
      <alignment horizontal="right"/>
      <protection hidden="1"/>
    </xf>
    <xf numFmtId="182" fontId="2" fillId="5" borderId="0" xfId="0" applyNumberFormat="1" applyFont="1" applyFill="1" applyBorder="1" applyAlignment="1" applyProtection="1">
      <alignment/>
      <protection hidden="1"/>
    </xf>
    <xf numFmtId="0" fontId="2" fillId="5" borderId="0" xfId="0" applyNumberFormat="1" applyFont="1" applyFill="1" applyBorder="1" applyAlignment="1" applyProtection="1">
      <alignment/>
      <protection hidden="1"/>
    </xf>
    <xf numFmtId="168" fontId="0" fillId="5" borderId="0" xfId="0" applyNumberFormat="1" applyFill="1" applyAlignment="1" applyProtection="1">
      <alignment/>
      <protection hidden="1"/>
    </xf>
    <xf numFmtId="184" fontId="0" fillId="3" borderId="18" xfId="0" applyNumberFormat="1" applyFill="1" applyBorder="1" applyAlignment="1" applyProtection="1">
      <alignment/>
      <protection hidden="1"/>
    </xf>
    <xf numFmtId="0" fontId="5" fillId="3" borderId="18" xfId="0" applyNumberFormat="1" applyFont="1" applyFill="1" applyBorder="1" applyAlignment="1" applyProtection="1">
      <alignment horizontal="center" vertical="center"/>
      <protection hidden="1"/>
    </xf>
    <xf numFmtId="0" fontId="5" fillId="4" borderId="18" xfId="0" applyNumberFormat="1" applyFont="1" applyFill="1" applyBorder="1" applyAlignment="1" applyProtection="1">
      <alignment horizontal="center"/>
      <protection hidden="1"/>
    </xf>
    <xf numFmtId="168" fontId="2" fillId="5" borderId="5" xfId="0" applyNumberFormat="1" applyFont="1" applyFill="1" applyBorder="1" applyAlignment="1" applyProtection="1">
      <alignment/>
      <protection hidden="1"/>
    </xf>
    <xf numFmtId="10" fontId="2" fillId="5" borderId="5" xfId="19" applyNumberFormat="1" applyFont="1" applyFill="1" applyBorder="1" applyAlignment="1" applyProtection="1">
      <alignment horizontal="center"/>
      <protection hidden="1"/>
    </xf>
    <xf numFmtId="168" fontId="2" fillId="5" borderId="5" xfId="19" applyNumberFormat="1" applyFont="1" applyFill="1" applyBorder="1" applyAlignment="1" applyProtection="1">
      <alignment horizontal="right"/>
      <protection hidden="1"/>
    </xf>
    <xf numFmtId="181" fontId="0" fillId="5" borderId="18" xfId="0" applyNumberFormat="1" applyFill="1" applyBorder="1" applyAlignment="1" applyProtection="1">
      <alignment/>
      <protection hidden="1"/>
    </xf>
    <xf numFmtId="181" fontId="0" fillId="5" borderId="19" xfId="0" applyNumberFormat="1" applyFill="1" applyBorder="1" applyAlignment="1" applyProtection="1">
      <alignment/>
      <protection hidden="1"/>
    </xf>
    <xf numFmtId="0" fontId="15" fillId="5" borderId="0" xfId="0" applyNumberFormat="1" applyFont="1" applyFill="1" applyAlignment="1" applyProtection="1">
      <alignment/>
      <protection hidden="1"/>
    </xf>
    <xf numFmtId="0" fontId="0" fillId="5" borderId="0" xfId="0" applyNumberFormat="1" applyFill="1" applyAlignment="1" applyProtection="1">
      <alignment/>
      <protection hidden="1"/>
    </xf>
    <xf numFmtId="0" fontId="16" fillId="5" borderId="0" xfId="0" applyFont="1" applyFill="1" applyAlignment="1" applyProtection="1">
      <alignment horizontal="right"/>
      <protection hidden="1"/>
    </xf>
    <xf numFmtId="0" fontId="15" fillId="5" borderId="0" xfId="0" applyNumberFormat="1" applyFont="1" applyFill="1" applyAlignment="1" applyProtection="1">
      <alignment horizontal="left"/>
      <protection hidden="1"/>
    </xf>
    <xf numFmtId="0" fontId="16" fillId="5" borderId="0" xfId="0" applyNumberFormat="1" applyFont="1" applyFill="1" applyAlignment="1" applyProtection="1">
      <alignment horizontal="right"/>
      <protection hidden="1"/>
    </xf>
    <xf numFmtId="1" fontId="5" fillId="5" borderId="0" xfId="0" applyNumberFormat="1" applyFont="1" applyFill="1" applyBorder="1" applyAlignment="1" applyProtection="1">
      <alignment horizontal="center"/>
      <protection hidden="1"/>
    </xf>
    <xf numFmtId="1" fontId="0" fillId="5" borderId="14" xfId="0" applyNumberFormat="1" applyFill="1" applyBorder="1" applyAlignment="1" applyProtection="1">
      <alignment horizontal="center"/>
      <protection hidden="1"/>
    </xf>
    <xf numFmtId="1" fontId="0" fillId="5" borderId="15" xfId="0" applyNumberFormat="1" applyFill="1" applyBorder="1" applyAlignment="1" applyProtection="1">
      <alignment horizontal="center"/>
      <protection hidden="1"/>
    </xf>
    <xf numFmtId="0" fontId="2" fillId="5" borderId="0" xfId="0" applyNumberFormat="1" applyFont="1" applyFill="1" applyAlignment="1" applyProtection="1">
      <alignment/>
      <protection hidden="1"/>
    </xf>
    <xf numFmtId="0" fontId="13" fillId="5" borderId="0" xfId="0" applyNumberFormat="1" applyFont="1" applyFill="1" applyAlignment="1" applyProtection="1">
      <alignment horizontal="left"/>
      <protection hidden="1"/>
    </xf>
    <xf numFmtId="0" fontId="8" fillId="5" borderId="0" xfId="0" applyNumberFormat="1" applyFont="1" applyFill="1" applyAlignment="1" applyProtection="1">
      <alignment/>
      <protection hidden="1"/>
    </xf>
    <xf numFmtId="0" fontId="0" fillId="5" borderId="0" xfId="0" applyNumberFormat="1" applyFont="1" applyFill="1" applyAlignment="1" applyProtection="1">
      <alignment/>
      <protection hidden="1"/>
    </xf>
    <xf numFmtId="191" fontId="2" fillId="5" borderId="0" xfId="0" applyNumberFormat="1" applyFont="1" applyFill="1" applyAlignment="1" applyProtection="1">
      <alignment horizontal="center"/>
      <protection hidden="1"/>
    </xf>
    <xf numFmtId="181" fontId="2" fillId="5" borderId="0" xfId="0" applyNumberFormat="1" applyFont="1" applyFill="1" applyBorder="1" applyAlignment="1" applyProtection="1">
      <alignment/>
      <protection hidden="1"/>
    </xf>
    <xf numFmtId="181" fontId="2" fillId="5" borderId="5" xfId="0" applyNumberFormat="1" applyFont="1" applyFill="1" applyBorder="1" applyAlignment="1" applyProtection="1">
      <alignment/>
      <protection hidden="1"/>
    </xf>
    <xf numFmtId="182" fontId="2" fillId="5" borderId="5" xfId="0" applyNumberFormat="1" applyFont="1" applyFill="1" applyBorder="1" applyAlignment="1" applyProtection="1">
      <alignment/>
      <protection hidden="1"/>
    </xf>
    <xf numFmtId="181" fontId="2" fillId="5" borderId="19" xfId="0" applyNumberFormat="1" applyFont="1" applyFill="1" applyBorder="1" applyAlignment="1" applyProtection="1">
      <alignment/>
      <protection hidden="1"/>
    </xf>
    <xf numFmtId="168" fontId="2" fillId="5" borderId="9" xfId="19" applyNumberFormat="1" applyFont="1" applyFill="1" applyBorder="1" applyAlignment="1" applyProtection="1">
      <alignment horizontal="right"/>
      <protection hidden="1"/>
    </xf>
    <xf numFmtId="1" fontId="8" fillId="5" borderId="12" xfId="19" applyNumberFormat="1" applyFont="1" applyFill="1" applyBorder="1" applyAlignment="1" applyProtection="1">
      <alignment horizontal="center"/>
      <protection hidden="1"/>
    </xf>
    <xf numFmtId="1" fontId="2" fillId="5" borderId="7" xfId="19" applyNumberFormat="1" applyFont="1" applyFill="1" applyBorder="1" applyAlignment="1" applyProtection="1">
      <alignment horizontal="center"/>
      <protection hidden="1"/>
    </xf>
    <xf numFmtId="182" fontId="0" fillId="5" borderId="18" xfId="0" applyNumberFormat="1" applyFill="1" applyBorder="1" applyAlignment="1" applyProtection="1">
      <alignment/>
      <protection hidden="1"/>
    </xf>
    <xf numFmtId="182" fontId="0" fillId="5" borderId="19" xfId="0" applyNumberFormat="1" applyFill="1" applyBorder="1" applyAlignment="1" applyProtection="1">
      <alignment/>
      <protection hidden="1"/>
    </xf>
    <xf numFmtId="182" fontId="2" fillId="5" borderId="19" xfId="0" applyNumberFormat="1" applyFont="1" applyFill="1" applyBorder="1" applyAlignment="1" applyProtection="1">
      <alignment/>
      <protection hidden="1"/>
    </xf>
    <xf numFmtId="0" fontId="5" fillId="3" borderId="5" xfId="0" applyNumberFormat="1" applyFont="1" applyFill="1" applyBorder="1" applyAlignment="1">
      <alignment horizontal="center"/>
    </xf>
    <xf numFmtId="184" fontId="2" fillId="5" borderId="5" xfId="0" applyNumberFormat="1" applyFont="1" applyFill="1" applyBorder="1" applyAlignment="1" applyProtection="1">
      <alignment/>
      <protection hidden="1"/>
    </xf>
    <xf numFmtId="10" fontId="2" fillId="5" borderId="5" xfId="0" applyNumberFormat="1" applyFont="1" applyFill="1" applyBorder="1" applyAlignment="1" applyProtection="1">
      <alignment/>
      <protection hidden="1"/>
    </xf>
    <xf numFmtId="0" fontId="14" fillId="5" borderId="19" xfId="0" applyFont="1" applyFill="1" applyBorder="1" applyAlignment="1" applyProtection="1">
      <alignment/>
      <protection hidden="1"/>
    </xf>
    <xf numFmtId="0" fontId="0" fillId="5" borderId="19" xfId="0" applyFont="1" applyFill="1" applyBorder="1" applyAlignment="1" applyProtection="1">
      <alignment/>
      <protection hidden="1"/>
    </xf>
    <xf numFmtId="0" fontId="15" fillId="5" borderId="0" xfId="0" applyFont="1" applyFill="1" applyAlignment="1" applyProtection="1">
      <alignment horizontal="right"/>
      <protection hidden="1"/>
    </xf>
    <xf numFmtId="181" fontId="15" fillId="5" borderId="0" xfId="0" applyNumberFormat="1" applyFont="1" applyFill="1" applyAlignment="1" applyProtection="1">
      <alignment/>
      <protection hidden="1"/>
    </xf>
    <xf numFmtId="0" fontId="2" fillId="5" borderId="0" xfId="0" applyFont="1" applyFill="1" applyBorder="1" applyAlignment="1" applyProtection="1">
      <alignment horizontal="left"/>
      <protection hidden="1"/>
    </xf>
    <xf numFmtId="0" fontId="0" fillId="5" borderId="0" xfId="0" applyFill="1" applyBorder="1" applyAlignment="1" applyProtection="1">
      <alignment horizontal="center"/>
      <protection hidden="1" locked="0"/>
    </xf>
    <xf numFmtId="0" fontId="0" fillId="3" borderId="24" xfId="0" applyFill="1" applyBorder="1" applyAlignment="1" applyProtection="1">
      <alignment/>
      <protection hidden="1"/>
    </xf>
    <xf numFmtId="0" fontId="2" fillId="3" borderId="1" xfId="0" applyFont="1" applyFill="1" applyBorder="1" applyAlignment="1" applyProtection="1">
      <alignment horizontal="center"/>
      <protection hidden="1"/>
    </xf>
    <xf numFmtId="0" fontId="2" fillId="3" borderId="22" xfId="0" applyFont="1" applyFill="1" applyBorder="1" applyAlignment="1" applyProtection="1">
      <alignment horizontal="center"/>
      <protection hidden="1"/>
    </xf>
    <xf numFmtId="0" fontId="24" fillId="3" borderId="1" xfId="0" applyFont="1" applyFill="1" applyBorder="1" applyAlignment="1" applyProtection="1">
      <alignment horizontal="left"/>
      <protection hidden="1"/>
    </xf>
    <xf numFmtId="0" fontId="0" fillId="3" borderId="1" xfId="0" applyFill="1" applyBorder="1" applyAlignment="1" applyProtection="1">
      <alignment horizontal="left"/>
      <protection hidden="1"/>
    </xf>
    <xf numFmtId="0" fontId="2" fillId="3" borderId="24" xfId="0" applyFont="1" applyFill="1" applyBorder="1" applyAlignment="1" applyProtection="1">
      <alignment horizontal="left"/>
      <protection hidden="1"/>
    </xf>
    <xf numFmtId="168" fontId="0" fillId="3" borderId="25" xfId="0" applyNumberFormat="1" applyFont="1" applyFill="1" applyBorder="1" applyAlignment="1" applyProtection="1">
      <alignment horizontal="center"/>
      <protection hidden="1"/>
    </xf>
    <xf numFmtId="0" fontId="2" fillId="3" borderId="1" xfId="0" applyFont="1" applyFill="1" applyBorder="1" applyAlignment="1" applyProtection="1">
      <alignment horizontal="left"/>
      <protection hidden="1"/>
    </xf>
    <xf numFmtId="9" fontId="0" fillId="3" borderId="1" xfId="19" applyNumberFormat="1" applyFill="1" applyBorder="1" applyAlignment="1" applyProtection="1">
      <alignment horizontal="center"/>
      <protection hidden="1"/>
    </xf>
    <xf numFmtId="168" fontId="0" fillId="3" borderId="1" xfId="0" applyNumberFormat="1" applyFill="1" applyBorder="1" applyAlignment="1" applyProtection="1">
      <alignment horizontal="center"/>
      <protection hidden="1"/>
    </xf>
    <xf numFmtId="0" fontId="0" fillId="3" borderId="21" xfId="0" applyFill="1" applyBorder="1" applyAlignment="1" applyProtection="1" quotePrefix="1">
      <alignment horizontal="left"/>
      <protection hidden="1"/>
    </xf>
    <xf numFmtId="0" fontId="0" fillId="3" borderId="1" xfId="0" applyFill="1" applyBorder="1" applyAlignment="1" applyProtection="1">
      <alignment horizontal="right"/>
      <protection hidden="1"/>
    </xf>
    <xf numFmtId="0" fontId="0" fillId="3" borderId="24" xfId="0" applyFill="1" applyBorder="1" applyAlignment="1" applyProtection="1">
      <alignment horizontal="left"/>
      <protection hidden="1"/>
    </xf>
    <xf numFmtId="0" fontId="0" fillId="3" borderId="0" xfId="0" applyFill="1" applyBorder="1" applyAlignment="1" applyProtection="1">
      <alignment horizontal="center"/>
      <protection hidden="1"/>
    </xf>
    <xf numFmtId="0" fontId="0" fillId="3" borderId="25" xfId="0" applyFill="1" applyBorder="1" applyAlignment="1" applyProtection="1">
      <alignment horizontal="center"/>
      <protection hidden="1"/>
    </xf>
    <xf numFmtId="0" fontId="2" fillId="3" borderId="1" xfId="0" applyFont="1" applyFill="1" applyBorder="1" applyAlignment="1" applyProtection="1">
      <alignment horizontal="right"/>
      <protection hidden="1"/>
    </xf>
    <xf numFmtId="0" fontId="0" fillId="3" borderId="16" xfId="0" applyFill="1" applyBorder="1" applyAlignment="1" applyProtection="1">
      <alignment/>
      <protection hidden="1"/>
    </xf>
    <xf numFmtId="0" fontId="0" fillId="3" borderId="26" xfId="0" applyFill="1" applyBorder="1" applyAlignment="1" applyProtection="1">
      <alignment/>
      <protection hidden="1"/>
    </xf>
    <xf numFmtId="0" fontId="0" fillId="3" borderId="17" xfId="0" applyFill="1" applyBorder="1" applyAlignment="1" applyProtection="1">
      <alignment/>
      <protection hidden="1"/>
    </xf>
    <xf numFmtId="0" fontId="0" fillId="3" borderId="16" xfId="0" applyFill="1" applyBorder="1" applyAlignment="1" applyProtection="1">
      <alignment horizontal="left"/>
      <protection hidden="1"/>
    </xf>
    <xf numFmtId="0" fontId="0" fillId="3" borderId="26" xfId="0"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0" fillId="3" borderId="26" xfId="0" applyFont="1" applyFill="1" applyBorder="1" applyAlignment="1" applyProtection="1">
      <alignment horizontal="left"/>
      <protection hidden="1"/>
    </xf>
    <xf numFmtId="0" fontId="5" fillId="3" borderId="26" xfId="0" applyFont="1" applyFill="1" applyBorder="1" applyAlignment="1" applyProtection="1">
      <alignment horizontal="left"/>
      <protection hidden="1"/>
    </xf>
    <xf numFmtId="0" fontId="0" fillId="3" borderId="2" xfId="0" applyFill="1" applyBorder="1" applyAlignment="1" applyProtection="1">
      <alignment/>
      <protection hidden="1"/>
    </xf>
    <xf numFmtId="0" fontId="0" fillId="3" borderId="3" xfId="0" applyFill="1" applyBorder="1" applyAlignment="1" applyProtection="1">
      <alignment/>
      <protection hidden="1"/>
    </xf>
    <xf numFmtId="0" fontId="0" fillId="3" borderId="4" xfId="0" applyFill="1" applyBorder="1" applyAlignment="1" applyProtection="1">
      <alignment/>
      <protection hidden="1"/>
    </xf>
    <xf numFmtId="0" fontId="0" fillId="3" borderId="1" xfId="0" applyFill="1" applyBorder="1" applyAlignment="1" applyProtection="1">
      <alignment horizontal="center" vertical="center" wrapText="1"/>
      <protection hidden="1"/>
    </xf>
    <xf numFmtId="2" fontId="0" fillId="3" borderId="1" xfId="0" applyNumberFormat="1" applyFill="1" applyBorder="1" applyAlignment="1" applyProtection="1">
      <alignment horizontal="center"/>
      <protection hidden="1"/>
    </xf>
    <xf numFmtId="0" fontId="9" fillId="5" borderId="0" xfId="0" applyFont="1" applyFill="1" applyAlignment="1" applyProtection="1">
      <alignment/>
      <protection hidden="1"/>
    </xf>
    <xf numFmtId="0" fontId="2" fillId="3" borderId="16" xfId="0" applyFont="1" applyFill="1" applyBorder="1" applyAlignment="1" applyProtection="1">
      <alignment horizontal="left"/>
      <protection hidden="1"/>
    </xf>
    <xf numFmtId="0" fontId="2" fillId="3" borderId="26" xfId="0" applyFont="1" applyFill="1" applyBorder="1" applyAlignment="1" applyProtection="1">
      <alignment horizontal="left"/>
      <protection hidden="1"/>
    </xf>
    <xf numFmtId="0" fontId="2" fillId="3" borderId="17" xfId="0" applyFont="1" applyFill="1" applyBorder="1" applyAlignment="1" applyProtection="1">
      <alignment horizontal="left"/>
      <protection hidden="1"/>
    </xf>
    <xf numFmtId="0" fontId="0" fillId="3" borderId="21" xfId="0" applyFont="1" applyFill="1" applyBorder="1" applyAlignment="1" applyProtection="1">
      <alignment horizontal="center" vertical="center"/>
      <protection hidden="1"/>
    </xf>
    <xf numFmtId="0" fontId="0" fillId="3" borderId="22" xfId="0" applyFill="1" applyBorder="1" applyAlignment="1">
      <alignment horizontal="center" vertical="center"/>
    </xf>
    <xf numFmtId="0" fontId="0" fillId="3" borderId="1" xfId="0" applyFont="1" applyFill="1" applyBorder="1" applyAlignment="1" applyProtection="1">
      <alignment horizontal="center"/>
      <protection hidden="1"/>
    </xf>
    <xf numFmtId="0" fontId="5" fillId="3" borderId="21" xfId="0" applyFont="1" applyFill="1" applyBorder="1" applyAlignment="1" applyProtection="1">
      <alignment horizontal="center"/>
      <protection hidden="1"/>
    </xf>
    <xf numFmtId="1" fontId="0" fillId="3" borderId="1" xfId="0" applyNumberFormat="1" applyFont="1" applyFill="1" applyBorder="1" applyAlignment="1" applyProtection="1">
      <alignment horizontal="center"/>
      <protection hidden="1"/>
    </xf>
    <xf numFmtId="0" fontId="2" fillId="3" borderId="27" xfId="0" applyFont="1" applyFill="1" applyBorder="1" applyAlignment="1" applyProtection="1">
      <alignment horizontal="left"/>
      <protection hidden="1"/>
    </xf>
    <xf numFmtId="0" fontId="2" fillId="3" borderId="28" xfId="0" applyFont="1" applyFill="1" applyBorder="1" applyAlignment="1" applyProtection="1">
      <alignment horizontal="left"/>
      <protection hidden="1"/>
    </xf>
    <xf numFmtId="0" fontId="2" fillId="3" borderId="2" xfId="0" applyFont="1" applyFill="1" applyBorder="1" applyAlignment="1" applyProtection="1">
      <alignment horizontal="left"/>
      <protection hidden="1"/>
    </xf>
    <xf numFmtId="0" fontId="0" fillId="3" borderId="3" xfId="0" applyFont="1" applyFill="1" applyBorder="1" applyAlignment="1" applyProtection="1">
      <alignment horizontal="center"/>
      <protection hidden="1"/>
    </xf>
    <xf numFmtId="0" fontId="0" fillId="5" borderId="0" xfId="0" applyFont="1" applyFill="1" applyBorder="1" applyAlignment="1" applyProtection="1">
      <alignment horizontal="center"/>
      <protection hidden="1"/>
    </xf>
    <xf numFmtId="0" fontId="0" fillId="4" borderId="0" xfId="0" applyFill="1" applyAlignment="1" applyProtection="1">
      <alignment horizontal="left"/>
      <protection hidden="1"/>
    </xf>
    <xf numFmtId="0" fontId="0" fillId="0" borderId="0" xfId="0" applyAlignment="1" applyProtection="1">
      <alignment horizontal="left"/>
      <protection hidden="1"/>
    </xf>
    <xf numFmtId="0" fontId="5" fillId="5" borderId="0" xfId="0" applyFont="1" applyFill="1" applyAlignment="1" applyProtection="1">
      <alignment horizontal="left"/>
      <protection hidden="1"/>
    </xf>
    <xf numFmtId="0" fontId="6" fillId="5" borderId="0" xfId="0" applyFont="1" applyFill="1" applyBorder="1" applyAlignment="1" applyProtection="1">
      <alignment horizontal="left"/>
      <protection hidden="1"/>
    </xf>
    <xf numFmtId="0" fontId="5" fillId="5" borderId="0" xfId="0" applyFont="1" applyFill="1" applyAlignment="1" applyProtection="1" quotePrefix="1">
      <alignment horizontal="center"/>
      <protection hidden="1"/>
    </xf>
    <xf numFmtId="0" fontId="23" fillId="5" borderId="0" xfId="0" applyFont="1" applyFill="1" applyAlignment="1">
      <alignment/>
    </xf>
    <xf numFmtId="0" fontId="7" fillId="5" borderId="0" xfId="0" applyFont="1" applyFill="1" applyAlignment="1">
      <alignment/>
    </xf>
    <xf numFmtId="0" fontId="15" fillId="5" borderId="0" xfId="0" applyFont="1" applyFill="1" applyAlignment="1">
      <alignment/>
    </xf>
    <xf numFmtId="10" fontId="14" fillId="3" borderId="0" xfId="19" applyNumberFormat="1" applyFont="1" applyFill="1" applyAlignment="1" applyProtection="1">
      <alignment horizontal="left"/>
      <protection hidden="1"/>
    </xf>
    <xf numFmtId="168" fontId="0" fillId="5" borderId="7" xfId="0" applyNumberFormat="1" applyFill="1" applyBorder="1" applyAlignment="1" applyProtection="1">
      <alignment/>
      <protection hidden="1"/>
    </xf>
    <xf numFmtId="2" fontId="0" fillId="3" borderId="0" xfId="0" applyNumberFormat="1" applyFont="1" applyFill="1" applyBorder="1" applyAlignment="1" applyProtection="1">
      <alignment/>
      <protection hidden="1"/>
    </xf>
    <xf numFmtId="168" fontId="0" fillId="3" borderId="0" xfId="0" applyNumberFormat="1" applyFont="1" applyFill="1" applyBorder="1" applyAlignment="1" applyProtection="1">
      <alignment/>
      <protection hidden="1"/>
    </xf>
    <xf numFmtId="2" fontId="0" fillId="3" borderId="0" xfId="0" applyNumberFormat="1" applyFont="1" applyFill="1" applyBorder="1" applyAlignment="1" applyProtection="1" quotePrefix="1">
      <alignment/>
      <protection hidden="1"/>
    </xf>
    <xf numFmtId="0" fontId="6" fillId="3" borderId="0" xfId="0" applyNumberFormat="1" applyFont="1" applyFill="1" applyBorder="1" applyAlignment="1" applyProtection="1">
      <alignment horizontal="right"/>
      <protection hidden="1"/>
    </xf>
    <xf numFmtId="168" fontId="2" fillId="3" borderId="0" xfId="0" applyNumberFormat="1" applyFont="1" applyFill="1" applyBorder="1" applyAlignment="1" applyProtection="1">
      <alignment/>
      <protection hidden="1"/>
    </xf>
    <xf numFmtId="0" fontId="0" fillId="3" borderId="0" xfId="0" applyNumberFormat="1" applyFont="1" applyFill="1" applyBorder="1" applyAlignment="1" applyProtection="1">
      <alignment/>
      <protection hidden="1"/>
    </xf>
    <xf numFmtId="0" fontId="8" fillId="5" borderId="0" xfId="0" applyFont="1" applyFill="1" applyAlignment="1" applyProtection="1">
      <alignment horizontal="left"/>
      <protection hidden="1"/>
    </xf>
    <xf numFmtId="0" fontId="23" fillId="5" borderId="0" xfId="0" applyFont="1" applyFill="1" applyAlignment="1">
      <alignment horizontal="right"/>
    </xf>
    <xf numFmtId="14" fontId="23" fillId="5" borderId="0" xfId="0" applyNumberFormat="1" applyFont="1" applyFill="1" applyAlignment="1">
      <alignment/>
    </xf>
    <xf numFmtId="0" fontId="15" fillId="5" borderId="0" xfId="0" applyFont="1" applyFill="1" applyAlignment="1" applyProtection="1">
      <alignment horizontal="left"/>
      <protection hidden="1"/>
    </xf>
    <xf numFmtId="2" fontId="0" fillId="3" borderId="10" xfId="0" applyNumberFormat="1" applyFont="1" applyFill="1" applyBorder="1" applyAlignment="1" applyProtection="1">
      <alignment/>
      <protection hidden="1"/>
    </xf>
    <xf numFmtId="168" fontId="0" fillId="3" borderId="10" xfId="0" applyNumberFormat="1" applyFont="1" applyFill="1" applyBorder="1" applyAlignment="1" applyProtection="1">
      <alignment/>
      <protection hidden="1"/>
    </xf>
    <xf numFmtId="2" fontId="0" fillId="3" borderId="14" xfId="0" applyNumberFormat="1" applyFont="1" applyFill="1" applyBorder="1" applyAlignment="1" applyProtection="1">
      <alignment/>
      <protection hidden="1"/>
    </xf>
    <xf numFmtId="0" fontId="3" fillId="3" borderId="14" xfId="0" applyNumberFormat="1" applyFont="1" applyFill="1" applyBorder="1" applyAlignment="1" applyProtection="1">
      <alignment horizontal="right"/>
      <protection hidden="1"/>
    </xf>
    <xf numFmtId="168" fontId="0" fillId="3" borderId="14" xfId="0" applyNumberFormat="1" applyFont="1" applyFill="1" applyBorder="1" applyAlignment="1" applyProtection="1">
      <alignment/>
      <protection hidden="1"/>
    </xf>
    <xf numFmtId="168" fontId="2" fillId="3" borderId="14" xfId="0" applyNumberFormat="1" applyFont="1" applyFill="1" applyBorder="1" applyAlignment="1" applyProtection="1">
      <alignment/>
      <protection hidden="1"/>
    </xf>
    <xf numFmtId="0" fontId="0" fillId="4" borderId="29" xfId="0" applyFont="1" applyFill="1" applyBorder="1" applyAlignment="1" applyProtection="1">
      <alignment horizontal="right" vertical="center"/>
      <protection hidden="1"/>
    </xf>
    <xf numFmtId="0" fontId="0" fillId="4" borderId="30" xfId="0" applyFont="1" applyFill="1" applyBorder="1" applyAlignment="1" applyProtection="1">
      <alignment horizontal="right" vertical="center"/>
      <protection hidden="1"/>
    </xf>
    <xf numFmtId="0" fontId="25" fillId="4" borderId="30" xfId="0" applyFont="1" applyFill="1" applyBorder="1" applyAlignment="1" applyProtection="1">
      <alignment horizontal="right" vertical="center"/>
      <protection hidden="1"/>
    </xf>
    <xf numFmtId="168" fontId="26" fillId="4" borderId="31" xfId="0" applyNumberFormat="1" applyFont="1" applyFill="1" applyBorder="1" applyAlignment="1" applyProtection="1">
      <alignment horizontal="right" vertical="center"/>
      <protection hidden="1"/>
    </xf>
    <xf numFmtId="0" fontId="0" fillId="4" borderId="32" xfId="0" applyFont="1" applyFill="1" applyBorder="1" applyAlignment="1" applyProtection="1">
      <alignment horizontal="right" vertical="center"/>
      <protection hidden="1"/>
    </xf>
    <xf numFmtId="0" fontId="0" fillId="4" borderId="0" xfId="0" applyFont="1" applyFill="1" applyBorder="1" applyAlignment="1" applyProtection="1">
      <alignment horizontal="right" vertical="center"/>
      <protection hidden="1"/>
    </xf>
    <xf numFmtId="0" fontId="25" fillId="4" borderId="0" xfId="0" applyFont="1" applyFill="1" applyBorder="1" applyAlignment="1" applyProtection="1">
      <alignment horizontal="right" vertical="center"/>
      <protection hidden="1"/>
    </xf>
    <xf numFmtId="0" fontId="25" fillId="4" borderId="0" xfId="0" applyFont="1" applyFill="1" applyBorder="1" applyAlignment="1" applyProtection="1" quotePrefix="1">
      <alignment horizontal="right" vertical="center"/>
      <protection hidden="1"/>
    </xf>
    <xf numFmtId="168" fontId="26" fillId="4" borderId="33" xfId="0" applyNumberFormat="1" applyFont="1" applyFill="1" applyBorder="1" applyAlignment="1" applyProtection="1">
      <alignment horizontal="right" vertical="center"/>
      <protection hidden="1"/>
    </xf>
    <xf numFmtId="0" fontId="0" fillId="4" borderId="34" xfId="0" applyFont="1" applyFill="1" applyBorder="1" applyAlignment="1" applyProtection="1">
      <alignment horizontal="right" vertical="center"/>
      <protection hidden="1"/>
    </xf>
    <xf numFmtId="0" fontId="0" fillId="4" borderId="35" xfId="0" applyFont="1" applyFill="1" applyBorder="1" applyAlignment="1" applyProtection="1">
      <alignment horizontal="right" vertical="center"/>
      <protection hidden="1"/>
    </xf>
    <xf numFmtId="0" fontId="25" fillId="4" borderId="35" xfId="0" applyFont="1" applyFill="1" applyBorder="1" applyAlignment="1" applyProtection="1">
      <alignment horizontal="right" vertical="center"/>
      <protection hidden="1"/>
    </xf>
    <xf numFmtId="168" fontId="26" fillId="4" borderId="36" xfId="0" applyNumberFormat="1" applyFont="1" applyFill="1" applyBorder="1" applyAlignment="1" applyProtection="1">
      <alignment horizontal="right" vertical="center"/>
      <protection hidden="1"/>
    </xf>
    <xf numFmtId="0" fontId="0" fillId="0" borderId="37" xfId="0" applyFill="1" applyBorder="1" applyAlignment="1" applyProtection="1">
      <alignment horizontal="right" vertical="center"/>
      <protection hidden="1"/>
    </xf>
    <xf numFmtId="0" fontId="2" fillId="4" borderId="34" xfId="0" applyFont="1" applyFill="1" applyBorder="1" applyAlignment="1" applyProtection="1">
      <alignment horizontal="right" vertical="center"/>
      <protection hidden="1"/>
    </xf>
    <xf numFmtId="0" fontId="13" fillId="5" borderId="0" xfId="0" applyFont="1" applyFill="1" applyBorder="1" applyAlignment="1" applyProtection="1">
      <alignment horizontal="center"/>
      <protection hidden="1"/>
    </xf>
    <xf numFmtId="207" fontId="2" fillId="3" borderId="0" xfId="0" applyNumberFormat="1" applyFont="1" applyFill="1" applyBorder="1" applyAlignment="1" applyProtection="1">
      <alignment/>
      <protection hidden="1"/>
    </xf>
    <xf numFmtId="2" fontId="0" fillId="3" borderId="0" xfId="0" applyNumberFormat="1" applyFill="1" applyAlignment="1" applyProtection="1">
      <alignment/>
      <protection hidden="1"/>
    </xf>
    <xf numFmtId="0" fontId="8" fillId="3" borderId="0" xfId="0" applyFont="1" applyFill="1" applyAlignment="1" applyProtection="1">
      <alignment/>
      <protection hidden="1"/>
    </xf>
    <xf numFmtId="0" fontId="0" fillId="3" borderId="0" xfId="0" applyFill="1" applyAlignment="1" applyProtection="1">
      <alignment/>
      <protection hidden="1"/>
    </xf>
    <xf numFmtId="181" fontId="2" fillId="3" borderId="0" xfId="0" applyNumberFormat="1" applyFont="1" applyFill="1" applyAlignment="1" applyProtection="1">
      <alignment/>
      <protection hidden="1"/>
    </xf>
    <xf numFmtId="0" fontId="5" fillId="5" borderId="19" xfId="0" applyFont="1" applyFill="1" applyBorder="1" applyAlignment="1" applyProtection="1">
      <alignment/>
      <protection hidden="1"/>
    </xf>
    <xf numFmtId="181" fontId="0" fillId="5" borderId="18" xfId="0" applyNumberFormat="1" applyFont="1" applyFill="1" applyBorder="1" applyAlignment="1" applyProtection="1">
      <alignment horizontal="right"/>
      <protection hidden="1"/>
    </xf>
    <xf numFmtId="181" fontId="0" fillId="5" borderId="19" xfId="0" applyNumberFormat="1" applyFont="1" applyFill="1" applyBorder="1" applyAlignment="1" applyProtection="1">
      <alignment horizontal="right"/>
      <protection hidden="1"/>
    </xf>
    <xf numFmtId="181" fontId="5" fillId="5" borderId="7" xfId="0" applyNumberFormat="1" applyFont="1" applyFill="1" applyBorder="1" applyAlignment="1" applyProtection="1">
      <alignment horizontal="right"/>
      <protection hidden="1"/>
    </xf>
    <xf numFmtId="181" fontId="5" fillId="5" borderId="14" xfId="0" applyNumberFormat="1" applyFont="1" applyFill="1" applyBorder="1" applyAlignment="1" applyProtection="1">
      <alignment horizontal="right"/>
      <protection hidden="1"/>
    </xf>
    <xf numFmtId="181" fontId="0" fillId="5" borderId="9" xfId="0" applyNumberFormat="1" applyFont="1" applyFill="1" applyBorder="1" applyAlignment="1" applyProtection="1">
      <alignment horizontal="right"/>
      <protection hidden="1"/>
    </xf>
    <xf numFmtId="181" fontId="0" fillId="5" borderId="10" xfId="0" applyNumberFormat="1" applyFont="1" applyFill="1" applyBorder="1" applyAlignment="1" applyProtection="1">
      <alignment horizontal="right"/>
      <protection hidden="1"/>
    </xf>
    <xf numFmtId="0" fontId="0" fillId="3" borderId="5" xfId="0" applyNumberFormat="1" applyFont="1" applyFill="1" applyBorder="1" applyAlignment="1" applyProtection="1">
      <alignment/>
      <protection hidden="1"/>
    </xf>
    <xf numFmtId="0" fontId="5" fillId="5" borderId="0" xfId="0" applyFont="1" applyFill="1" applyAlignment="1" applyProtection="1">
      <alignment horizontal="left" vertical="top"/>
      <protection hidden="1"/>
    </xf>
    <xf numFmtId="181" fontId="0" fillId="5" borderId="0" xfId="0" applyNumberFormat="1" applyFill="1" applyBorder="1" applyAlignment="1" applyProtection="1">
      <alignment horizontal="right"/>
      <protection hidden="1"/>
    </xf>
    <xf numFmtId="181" fontId="5" fillId="5" borderId="0" xfId="0" applyNumberFormat="1" applyFont="1" applyFill="1" applyBorder="1" applyAlignment="1" applyProtection="1">
      <alignment/>
      <protection hidden="1"/>
    </xf>
    <xf numFmtId="184" fontId="5" fillId="5" borderId="0" xfId="19" applyNumberFormat="1" applyFont="1" applyFill="1" applyBorder="1" applyAlignment="1" applyProtection="1">
      <alignment/>
      <protection hidden="1"/>
    </xf>
    <xf numFmtId="168" fontId="5" fillId="5" borderId="0" xfId="0" applyNumberFormat="1" applyFont="1" applyFill="1" applyBorder="1" applyAlignment="1" applyProtection="1">
      <alignment/>
      <protection hidden="1"/>
    </xf>
    <xf numFmtId="168" fontId="2" fillId="3" borderId="5" xfId="0" applyNumberFormat="1" applyFont="1" applyFill="1" applyBorder="1" applyAlignment="1" applyProtection="1">
      <alignment/>
      <protection hidden="1"/>
    </xf>
    <xf numFmtId="1" fontId="5" fillId="2" borderId="5" xfId="0" applyNumberFormat="1" applyFont="1" applyFill="1" applyBorder="1" applyAlignment="1" applyProtection="1">
      <alignment horizontal="left"/>
      <protection hidden="1" locked="0"/>
    </xf>
    <xf numFmtId="0" fontId="5" fillId="3" borderId="5" xfId="0" applyFont="1" applyFill="1" applyBorder="1" applyAlignment="1" applyProtection="1" quotePrefix="1">
      <alignment horizontal="left" vertical="center"/>
      <protection hidden="1"/>
    </xf>
    <xf numFmtId="0" fontId="5" fillId="3" borderId="5" xfId="0" applyFont="1" applyFill="1" applyBorder="1" applyAlignment="1" applyProtection="1">
      <alignment vertical="center"/>
      <protection hidden="1"/>
    </xf>
    <xf numFmtId="181" fontId="0" fillId="2" borderId="19" xfId="0" applyNumberFormat="1" applyFont="1" applyFill="1" applyBorder="1" applyAlignment="1" applyProtection="1">
      <alignment horizontal="right"/>
      <protection hidden="1" locked="0"/>
    </xf>
    <xf numFmtId="0" fontId="5" fillId="3" borderId="19"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19" fillId="3" borderId="5" xfId="0" applyFont="1" applyFill="1" applyBorder="1" applyAlignment="1" applyProtection="1">
      <alignment horizontal="left" vertical="center"/>
      <protection hidden="1"/>
    </xf>
    <xf numFmtId="181" fontId="0" fillId="5" borderId="0" xfId="0" applyNumberFormat="1" applyFont="1" applyFill="1" applyBorder="1" applyAlignment="1" applyProtection="1">
      <alignment horizontal="right"/>
      <protection hidden="1"/>
    </xf>
    <xf numFmtId="217" fontId="5" fillId="2" borderId="5" xfId="0" applyNumberFormat="1" applyFont="1" applyFill="1" applyBorder="1" applyAlignment="1" applyProtection="1">
      <alignment horizontal="left"/>
      <protection hidden="1" locked="0"/>
    </xf>
    <xf numFmtId="218" fontId="5" fillId="3" borderId="5" xfId="19" applyNumberFormat="1" applyFont="1" applyFill="1" applyBorder="1" applyAlignment="1" applyProtection="1">
      <alignment/>
      <protection hidden="1"/>
    </xf>
    <xf numFmtId="0" fontId="3" fillId="5" borderId="13" xfId="0" applyFont="1" applyFill="1" applyBorder="1" applyAlignment="1" applyProtection="1">
      <alignment horizontal="right"/>
      <protection hidden="1"/>
    </xf>
    <xf numFmtId="0" fontId="2" fillId="3" borderId="16" xfId="0" applyFont="1" applyFill="1" applyBorder="1" applyAlignment="1" applyProtection="1">
      <alignment horizontal="center"/>
      <protection hidden="1"/>
    </xf>
    <xf numFmtId="0" fontId="2" fillId="3" borderId="17" xfId="0" applyFont="1" applyFill="1" applyBorder="1" applyAlignment="1" applyProtection="1">
      <alignment horizontal="center"/>
      <protection hidden="1"/>
    </xf>
    <xf numFmtId="0" fontId="2" fillId="3" borderId="16"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8" fillId="3" borderId="21" xfId="0" applyFont="1" applyFill="1" applyBorder="1" applyAlignment="1" applyProtection="1">
      <alignment horizontal="center" vertical="center"/>
      <protection hidden="1"/>
    </xf>
    <xf numFmtId="0" fontId="0" fillId="0" borderId="22" xfId="0" applyBorder="1" applyAlignment="1">
      <alignment horizontal="center" vertical="center"/>
    </xf>
    <xf numFmtId="0" fontId="14" fillId="5" borderId="0" xfId="0" applyFont="1" applyFill="1" applyAlignment="1" applyProtection="1" quotePrefix="1">
      <alignment/>
      <protection hidden="1"/>
    </xf>
    <xf numFmtId="0" fontId="29" fillId="5" borderId="0" xfId="0" applyFont="1" applyFill="1" applyAlignment="1" applyProtection="1">
      <alignment horizontal="center"/>
      <protection hidden="1"/>
    </xf>
    <xf numFmtId="0" fontId="7" fillId="5" borderId="0" xfId="0" applyFont="1" applyFill="1" applyAlignment="1" applyProtection="1">
      <alignment horizontal="center"/>
      <protection hidden="1"/>
    </xf>
    <xf numFmtId="0" fontId="8" fillId="5" borderId="0" xfId="0" applyFont="1" applyFill="1" applyAlignment="1" applyProtection="1">
      <alignment horizontal="center"/>
      <protection hidden="1"/>
    </xf>
    <xf numFmtId="0" fontId="13" fillId="7" borderId="0" xfId="0" applyFont="1" applyFill="1" applyAlignment="1" applyProtection="1">
      <alignment horizontal="center"/>
      <protection hidden="1"/>
    </xf>
    <xf numFmtId="0" fontId="8" fillId="3" borderId="21"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14" fillId="5" borderId="0" xfId="0" applyFont="1" applyFill="1" applyAlignment="1" applyProtection="1">
      <alignment/>
      <protection hidden="1"/>
    </xf>
    <xf numFmtId="0" fontId="14" fillId="5" borderId="0" xfId="0" applyFont="1" applyFill="1" applyAlignment="1" applyProtection="1" quotePrefix="1">
      <alignment horizontal="left" vertical="justify" wrapText="1"/>
      <protection hidden="1"/>
    </xf>
    <xf numFmtId="0" fontId="14" fillId="5" borderId="0" xfId="0" applyFont="1" applyFill="1" applyAlignment="1" applyProtection="1">
      <alignment horizontal="left" vertical="justify" wrapText="1"/>
      <protection hidden="1"/>
    </xf>
    <xf numFmtId="168" fontId="0" fillId="5" borderId="19" xfId="0" applyNumberFormat="1" applyFont="1" applyFill="1" applyBorder="1" applyAlignment="1" applyProtection="1">
      <alignment horizontal="right"/>
      <protection hidden="1"/>
    </xf>
    <xf numFmtId="181" fontId="2" fillId="3" borderId="18" xfId="0" applyNumberFormat="1" applyFont="1" applyFill="1" applyBorder="1" applyAlignment="1" applyProtection="1">
      <alignment horizontal="center"/>
      <protection hidden="1"/>
    </xf>
    <xf numFmtId="181" fontId="2" fillId="3" borderId="20" xfId="0" applyNumberFormat="1" applyFont="1" applyFill="1" applyBorder="1" applyAlignment="1" applyProtection="1">
      <alignment horizontal="center"/>
      <protection hidden="1"/>
    </xf>
    <xf numFmtId="198" fontId="2" fillId="3" borderId="18" xfId="0" applyNumberFormat="1" applyFont="1" applyFill="1" applyBorder="1" applyAlignment="1" applyProtection="1">
      <alignment horizontal="center"/>
      <protection hidden="1"/>
    </xf>
    <xf numFmtId="198" fontId="2" fillId="3" borderId="20" xfId="0" applyNumberFormat="1" applyFont="1" applyFill="1" applyBorder="1" applyAlignment="1" applyProtection="1">
      <alignment horizontal="center"/>
      <protection hidden="1"/>
    </xf>
    <xf numFmtId="181" fontId="0" fillId="3" borderId="18" xfId="0" applyNumberFormat="1" applyFill="1" applyBorder="1" applyAlignment="1" applyProtection="1">
      <alignment horizontal="center"/>
      <protection hidden="1"/>
    </xf>
    <xf numFmtId="181" fontId="0" fillId="3" borderId="20" xfId="0" applyNumberFormat="1" applyFill="1" applyBorder="1" applyAlignment="1" applyProtection="1">
      <alignment horizontal="center"/>
      <protection hidden="1"/>
    </xf>
    <xf numFmtId="0" fontId="0" fillId="3" borderId="18" xfId="0" applyFill="1" applyBorder="1" applyAlignment="1" applyProtection="1">
      <alignment horizontal="left"/>
      <protection hidden="1"/>
    </xf>
    <xf numFmtId="0" fontId="0" fillId="3" borderId="20" xfId="0" applyFill="1" applyBorder="1" applyAlignment="1" applyProtection="1">
      <alignment horizontal="left"/>
      <protection hidden="1"/>
    </xf>
    <xf numFmtId="0" fontId="21" fillId="5" borderId="14" xfId="0" applyFont="1" applyFill="1" applyBorder="1" applyAlignment="1" applyProtection="1">
      <alignment horizontal="left"/>
      <protection hidden="1"/>
    </xf>
    <xf numFmtId="0" fontId="21" fillId="5" borderId="15" xfId="0" applyFont="1" applyFill="1" applyBorder="1" applyAlignment="1" applyProtection="1">
      <alignment horizontal="left"/>
      <protection hidden="1"/>
    </xf>
    <xf numFmtId="0" fontId="2" fillId="3" borderId="17" xfId="0" applyFont="1" applyFill="1" applyBorder="1" applyAlignment="1" applyProtection="1">
      <alignment horizontal="center" vertical="center"/>
      <protection hidden="1"/>
    </xf>
    <xf numFmtId="0" fontId="0" fillId="3" borderId="16" xfId="0" applyFont="1" applyFill="1" applyBorder="1" applyAlignment="1" applyProtection="1">
      <alignment horizontal="center"/>
      <protection hidden="1"/>
    </xf>
    <xf numFmtId="0" fontId="0" fillId="3" borderId="26" xfId="0" applyFont="1" applyFill="1" applyBorder="1" applyAlignment="1" applyProtection="1">
      <alignment horizontal="center"/>
      <protection hidden="1"/>
    </xf>
    <xf numFmtId="0" fontId="0" fillId="3" borderId="17" xfId="0" applyFont="1" applyFill="1" applyBorder="1" applyAlignment="1" applyProtection="1">
      <alignment horizontal="center"/>
      <protection hidden="1"/>
    </xf>
    <xf numFmtId="175" fontId="0" fillId="2" borderId="21" xfId="0" applyNumberFormat="1" applyFont="1" applyFill="1" applyBorder="1" applyAlignment="1" applyProtection="1">
      <alignment horizontal="center" vertical="center"/>
      <protection hidden="1" locked="0"/>
    </xf>
    <xf numFmtId="175" fontId="0" fillId="2" borderId="22" xfId="0" applyNumberFormat="1" applyFill="1" applyBorder="1" applyAlignment="1">
      <alignment horizontal="center" vertical="center"/>
    </xf>
    <xf numFmtId="0" fontId="2" fillId="3" borderId="26" xfId="0" applyFont="1" applyFill="1" applyBorder="1" applyAlignment="1" applyProtection="1">
      <alignment horizontal="center"/>
      <protection hidden="1"/>
    </xf>
    <xf numFmtId="0" fontId="34" fillId="5" borderId="0" xfId="18" applyFont="1" applyFill="1" applyAlignment="1">
      <alignment horizontal="center"/>
    </xf>
    <xf numFmtId="0" fontId="36" fillId="5" borderId="0" xfId="18" applyFont="1" applyFill="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b/>
        <i val="0"/>
        <color auto="1"/>
      </font>
      <border/>
    </dxf>
    <dxf>
      <font>
        <b/>
        <i val="0"/>
        <color rgb="FFFF0000"/>
      </font>
      <border/>
    </dxf>
    <dxf>
      <font>
        <b/>
        <i val="0"/>
        <strike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LG II'!A1" /><Relationship Id="rId2" Type="http://schemas.openxmlformats.org/officeDocument/2006/relationships/hyperlink" Target="#Sozialgeld!A1" /><Relationship Id="rId3" Type="http://schemas.openxmlformats.org/officeDocument/2006/relationships/hyperlink" Target="#Einkommen!A1" /><Relationship Id="rId4" Type="http://schemas.openxmlformats.org/officeDocument/2006/relationships/hyperlink" Target="#Verm&#246;gen!A1" /><Relationship Id="rId5" Type="http://schemas.openxmlformats.org/officeDocument/2006/relationships/hyperlink" Target="#Kinderzuschlag!A1" /><Relationship Id="rId6" Type="http://schemas.openxmlformats.org/officeDocument/2006/relationships/hyperlink" Target="#Anspruch!A1" /><Relationship Id="rId7" Type="http://schemas.openxmlformats.org/officeDocument/2006/relationships/hyperlink" Target="#Hinweise!A1" /></Relationships>
</file>

<file path=xl/drawings/_rels/drawing2.xml.rels><?xml version="1.0" encoding="utf-8" standalone="yes"?><Relationships xmlns="http://schemas.openxmlformats.org/package/2006/relationships"><Relationship Id="rId1" Type="http://schemas.openxmlformats.org/officeDocument/2006/relationships/hyperlink" Target="#Sozialgeld!A1" /><Relationship Id="rId2" Type="http://schemas.openxmlformats.org/officeDocument/2006/relationships/hyperlink" Target="#Einkommen!A1" /><Relationship Id="rId3" Type="http://schemas.openxmlformats.org/officeDocument/2006/relationships/hyperlink" Target="#Daten!A1" /></Relationships>
</file>

<file path=xl/drawings/_rels/drawing3.xml.rels><?xml version="1.0" encoding="utf-8" standalone="yes"?><Relationships xmlns="http://schemas.openxmlformats.org/package/2006/relationships"><Relationship Id="rId1" Type="http://schemas.openxmlformats.org/officeDocument/2006/relationships/hyperlink" Target="#Einkommen!A1" /><Relationship Id="rId2" Type="http://schemas.openxmlformats.org/officeDocument/2006/relationships/hyperlink" Target="#Daten!A1" /></Relationships>
</file>

<file path=xl/drawings/_rels/drawing4.xml.rels><?xml version="1.0" encoding="utf-8" standalone="yes"?><Relationships xmlns="http://schemas.openxmlformats.org/package/2006/relationships"><Relationship Id="rId1" Type="http://schemas.openxmlformats.org/officeDocument/2006/relationships/hyperlink" Target="#Verm&#246;gen!A1" /><Relationship Id="rId2" Type="http://schemas.openxmlformats.org/officeDocument/2006/relationships/hyperlink" Target="#Kinderzuschlag!A1" /><Relationship Id="rId3" Type="http://schemas.openxmlformats.org/officeDocument/2006/relationships/hyperlink" Target="#Anspruch!A1" /><Relationship Id="rId4" Type="http://schemas.openxmlformats.org/officeDocument/2006/relationships/hyperlink" Target="#Daten!A1" /></Relationships>
</file>

<file path=xl/drawings/_rels/drawing5.xml.rels><?xml version="1.0" encoding="utf-8" standalone="yes"?><Relationships xmlns="http://schemas.openxmlformats.org/package/2006/relationships"><Relationship Id="rId1" Type="http://schemas.openxmlformats.org/officeDocument/2006/relationships/hyperlink" Target="#Kinderzuschlag!A1" /><Relationship Id="rId2" Type="http://schemas.openxmlformats.org/officeDocument/2006/relationships/hyperlink" Target="#Anspruch!A1" /><Relationship Id="rId3" Type="http://schemas.openxmlformats.org/officeDocument/2006/relationships/hyperlink" Target="#Daten!A1" /></Relationships>
</file>

<file path=xl/drawings/_rels/drawing6.xml.rels><?xml version="1.0" encoding="utf-8" standalone="yes"?><Relationships xmlns="http://schemas.openxmlformats.org/package/2006/relationships"><Relationship Id="rId1" Type="http://schemas.openxmlformats.org/officeDocument/2006/relationships/hyperlink" Target="#Anspruch!A1" /><Relationship Id="rId2" Type="http://schemas.openxmlformats.org/officeDocument/2006/relationships/hyperlink" Target="#Daten!A1" /></Relationships>
</file>

<file path=xl/drawings/_rels/drawing7.xml.rels><?xml version="1.0" encoding="utf-8" standalone="yes"?><Relationships xmlns="http://schemas.openxmlformats.org/package/2006/relationships"><Relationship Id="rId1" Type="http://schemas.openxmlformats.org/officeDocument/2006/relationships/hyperlink" Target="#Daten!A1" /></Relationships>
</file>

<file path=xl/drawings/_rels/drawing8.xml.rels><?xml version="1.0" encoding="utf-8" standalone="yes"?><Relationships xmlns="http://schemas.openxmlformats.org/package/2006/relationships"><Relationship Id="rId1" Type="http://schemas.openxmlformats.org/officeDocument/2006/relationships/hyperlink" Target="#'ALG II'!A1" /><Relationship Id="rId2" Type="http://schemas.openxmlformats.org/officeDocument/2006/relationships/hyperlink" Target="#Date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43</xdr:row>
      <xdr:rowOff>0</xdr:rowOff>
    </xdr:from>
    <xdr:to>
      <xdr:col>3</xdr:col>
      <xdr:colOff>9525</xdr:colOff>
      <xdr:row>44</xdr:row>
      <xdr:rowOff>133350</xdr:rowOff>
    </xdr:to>
    <xdr:sp>
      <xdr:nvSpPr>
        <xdr:cNvPr id="1" name="Rectangle 14">
          <a:hlinkClick r:id="rId1"/>
        </xdr:cNvPr>
        <xdr:cNvSpPr>
          <a:spLocks/>
        </xdr:cNvSpPr>
      </xdr:nvSpPr>
      <xdr:spPr>
        <a:xfrm>
          <a:off x="276225" y="5962650"/>
          <a:ext cx="152400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Arbeitslosengeld II</a:t>
          </a:r>
        </a:p>
      </xdr:txBody>
    </xdr:sp>
    <xdr:clientData/>
  </xdr:twoCellAnchor>
  <xdr:twoCellAnchor>
    <xdr:from>
      <xdr:col>3</xdr:col>
      <xdr:colOff>95250</xdr:colOff>
      <xdr:row>43</xdr:row>
      <xdr:rowOff>0</xdr:rowOff>
    </xdr:from>
    <xdr:to>
      <xdr:col>4</xdr:col>
      <xdr:colOff>638175</xdr:colOff>
      <xdr:row>44</xdr:row>
      <xdr:rowOff>133350</xdr:rowOff>
    </xdr:to>
    <xdr:sp>
      <xdr:nvSpPr>
        <xdr:cNvPr id="2" name="Rectangle 15">
          <a:hlinkClick r:id="rId2"/>
        </xdr:cNvPr>
        <xdr:cNvSpPr>
          <a:spLocks/>
        </xdr:cNvSpPr>
      </xdr:nvSpPr>
      <xdr:spPr>
        <a:xfrm>
          <a:off x="1885950" y="5962650"/>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Sozialgeld</a:t>
          </a:r>
        </a:p>
      </xdr:txBody>
    </xdr:sp>
    <xdr:clientData/>
  </xdr:twoCellAnchor>
  <xdr:twoCellAnchor>
    <xdr:from>
      <xdr:col>4</xdr:col>
      <xdr:colOff>752475</xdr:colOff>
      <xdr:row>43</xdr:row>
      <xdr:rowOff>0</xdr:rowOff>
    </xdr:from>
    <xdr:to>
      <xdr:col>6</xdr:col>
      <xdr:colOff>447675</xdr:colOff>
      <xdr:row>44</xdr:row>
      <xdr:rowOff>133350</xdr:rowOff>
    </xdr:to>
    <xdr:sp>
      <xdr:nvSpPr>
        <xdr:cNvPr id="3" name="Rectangle 16">
          <a:hlinkClick r:id="rId3"/>
        </xdr:cNvPr>
        <xdr:cNvSpPr>
          <a:spLocks/>
        </xdr:cNvSpPr>
      </xdr:nvSpPr>
      <xdr:spPr>
        <a:xfrm>
          <a:off x="3390900" y="5962650"/>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Einkommen</a:t>
          </a:r>
        </a:p>
      </xdr:txBody>
    </xdr:sp>
    <xdr:clientData/>
  </xdr:twoCellAnchor>
  <xdr:twoCellAnchor>
    <xdr:from>
      <xdr:col>6</xdr:col>
      <xdr:colOff>571500</xdr:colOff>
      <xdr:row>43</xdr:row>
      <xdr:rowOff>0</xdr:rowOff>
    </xdr:from>
    <xdr:to>
      <xdr:col>8</xdr:col>
      <xdr:colOff>266700</xdr:colOff>
      <xdr:row>44</xdr:row>
      <xdr:rowOff>133350</xdr:rowOff>
    </xdr:to>
    <xdr:sp>
      <xdr:nvSpPr>
        <xdr:cNvPr id="4" name="Rectangle 17">
          <a:hlinkClick r:id="rId4"/>
        </xdr:cNvPr>
        <xdr:cNvSpPr>
          <a:spLocks/>
        </xdr:cNvSpPr>
      </xdr:nvSpPr>
      <xdr:spPr>
        <a:xfrm>
          <a:off x="4905375" y="5962650"/>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Vermögen</a:t>
          </a:r>
        </a:p>
      </xdr:txBody>
    </xdr:sp>
    <xdr:clientData/>
  </xdr:twoCellAnchor>
  <xdr:twoCellAnchor>
    <xdr:from>
      <xdr:col>8</xdr:col>
      <xdr:colOff>381000</xdr:colOff>
      <xdr:row>43</xdr:row>
      <xdr:rowOff>0</xdr:rowOff>
    </xdr:from>
    <xdr:to>
      <xdr:col>10</xdr:col>
      <xdr:colOff>76200</xdr:colOff>
      <xdr:row>44</xdr:row>
      <xdr:rowOff>133350</xdr:rowOff>
    </xdr:to>
    <xdr:sp>
      <xdr:nvSpPr>
        <xdr:cNvPr id="5" name="Rectangle 18">
          <a:hlinkClick r:id="rId5"/>
        </xdr:cNvPr>
        <xdr:cNvSpPr>
          <a:spLocks/>
        </xdr:cNvSpPr>
      </xdr:nvSpPr>
      <xdr:spPr>
        <a:xfrm>
          <a:off x="6410325" y="5962650"/>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Kinderzuschlag</a:t>
          </a:r>
        </a:p>
      </xdr:txBody>
    </xdr:sp>
    <xdr:clientData/>
  </xdr:twoCellAnchor>
  <xdr:twoCellAnchor>
    <xdr:from>
      <xdr:col>10</xdr:col>
      <xdr:colOff>200025</xdr:colOff>
      <xdr:row>43</xdr:row>
      <xdr:rowOff>0</xdr:rowOff>
    </xdr:from>
    <xdr:to>
      <xdr:col>11</xdr:col>
      <xdr:colOff>742950</xdr:colOff>
      <xdr:row>44</xdr:row>
      <xdr:rowOff>133350</xdr:rowOff>
    </xdr:to>
    <xdr:sp>
      <xdr:nvSpPr>
        <xdr:cNvPr id="6" name="Rectangle 19">
          <a:hlinkClick r:id="rId6"/>
        </xdr:cNvPr>
        <xdr:cNvSpPr>
          <a:spLocks/>
        </xdr:cNvSpPr>
      </xdr:nvSpPr>
      <xdr:spPr>
        <a:xfrm>
          <a:off x="7924800" y="5962650"/>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Anspruch</a:t>
          </a:r>
        </a:p>
      </xdr:txBody>
    </xdr:sp>
    <xdr:clientData/>
  </xdr:twoCellAnchor>
  <xdr:twoCellAnchor>
    <xdr:from>
      <xdr:col>1</xdr:col>
      <xdr:colOff>390525</xdr:colOff>
      <xdr:row>3</xdr:row>
      <xdr:rowOff>0</xdr:rowOff>
    </xdr:from>
    <xdr:to>
      <xdr:col>2</xdr:col>
      <xdr:colOff>390525</xdr:colOff>
      <xdr:row>4</xdr:row>
      <xdr:rowOff>9525</xdr:rowOff>
    </xdr:to>
    <xdr:sp>
      <xdr:nvSpPr>
        <xdr:cNvPr id="7" name="Rectangle 20">
          <a:hlinkClick r:id="rId7"/>
        </xdr:cNvPr>
        <xdr:cNvSpPr>
          <a:spLocks/>
        </xdr:cNvSpPr>
      </xdr:nvSpPr>
      <xdr:spPr>
        <a:xfrm>
          <a:off x="571500" y="590550"/>
          <a:ext cx="762000" cy="1809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00"/>
              </a:solidFill>
              <a:latin typeface="Arial"/>
              <a:ea typeface="Arial"/>
              <a:cs typeface="Arial"/>
            </a:rPr>
            <a:t>Hinweise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135</xdr:row>
      <xdr:rowOff>85725</xdr:rowOff>
    </xdr:from>
    <xdr:to>
      <xdr:col>11</xdr:col>
      <xdr:colOff>0</xdr:colOff>
      <xdr:row>137</xdr:row>
      <xdr:rowOff>0</xdr:rowOff>
    </xdr:to>
    <xdr:sp macro="[0]!ClearAlg">
      <xdr:nvSpPr>
        <xdr:cNvPr id="1" name="Rectangle 127">
          <a:hlinkClick r:id="rId1"/>
        </xdr:cNvPr>
        <xdr:cNvSpPr>
          <a:spLocks/>
        </xdr:cNvSpPr>
      </xdr:nvSpPr>
      <xdr:spPr>
        <a:xfrm>
          <a:off x="3981450" y="22040850"/>
          <a:ext cx="1914525" cy="2381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Sozialgeld</a:t>
          </a:r>
        </a:p>
      </xdr:txBody>
    </xdr:sp>
    <xdr:clientData/>
  </xdr:twoCellAnchor>
  <xdr:twoCellAnchor>
    <xdr:from>
      <xdr:col>6</xdr:col>
      <xdr:colOff>809625</xdr:colOff>
      <xdr:row>137</xdr:row>
      <xdr:rowOff>123825</xdr:rowOff>
    </xdr:from>
    <xdr:to>
      <xdr:col>11</xdr:col>
      <xdr:colOff>0</xdr:colOff>
      <xdr:row>139</xdr:row>
      <xdr:rowOff>38100</xdr:rowOff>
    </xdr:to>
    <xdr:sp macro="[0]!ClearAlg">
      <xdr:nvSpPr>
        <xdr:cNvPr id="2" name="Rectangle 128">
          <a:hlinkClick r:id="rId2"/>
        </xdr:cNvPr>
        <xdr:cNvSpPr>
          <a:spLocks/>
        </xdr:cNvSpPr>
      </xdr:nvSpPr>
      <xdr:spPr>
        <a:xfrm>
          <a:off x="3971925" y="22402800"/>
          <a:ext cx="1924050" cy="2381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Eingabe </a:t>
          </a:r>
          <a:r>
            <a:rPr lang="en-US" cap="none" sz="1000" b="1" i="0" u="none" baseline="0">
              <a:solidFill>
                <a:srgbClr val="FFFF00"/>
              </a:solidFill>
              <a:latin typeface="Arial"/>
              <a:ea typeface="Arial"/>
              <a:cs typeface="Arial"/>
            </a:rPr>
            <a:t>Einkommen</a:t>
          </a:r>
        </a:p>
      </xdr:txBody>
    </xdr:sp>
    <xdr:clientData/>
  </xdr:twoCellAnchor>
  <xdr:twoCellAnchor>
    <xdr:from>
      <xdr:col>10</xdr:col>
      <xdr:colOff>9525</xdr:colOff>
      <xdr:row>0</xdr:row>
      <xdr:rowOff>142875</xdr:rowOff>
    </xdr:from>
    <xdr:to>
      <xdr:col>12</xdr:col>
      <xdr:colOff>838200</xdr:colOff>
      <xdr:row>2</xdr:row>
      <xdr:rowOff>0</xdr:rowOff>
    </xdr:to>
    <xdr:sp>
      <xdr:nvSpPr>
        <xdr:cNvPr id="3" name="Rectangle 130">
          <a:hlinkClick r:id="rId3"/>
        </xdr:cNvPr>
        <xdr:cNvSpPr>
          <a:spLocks/>
        </xdr:cNvSpPr>
      </xdr:nvSpPr>
      <xdr:spPr>
        <a:xfrm>
          <a:off x="5057775" y="142875"/>
          <a:ext cx="1838325" cy="2190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Zurück zum Blatt Daten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30</xdr:row>
      <xdr:rowOff>114300</xdr:rowOff>
    </xdr:from>
    <xdr:to>
      <xdr:col>20</xdr:col>
      <xdr:colOff>0</xdr:colOff>
      <xdr:row>32</xdr:row>
      <xdr:rowOff>57150</xdr:rowOff>
    </xdr:to>
    <xdr:sp>
      <xdr:nvSpPr>
        <xdr:cNvPr id="1" name="Rectangle 58">
          <a:hlinkClick r:id="rId1"/>
        </xdr:cNvPr>
        <xdr:cNvSpPr>
          <a:spLocks/>
        </xdr:cNvSpPr>
      </xdr:nvSpPr>
      <xdr:spPr>
        <a:xfrm>
          <a:off x="5962650" y="5048250"/>
          <a:ext cx="1447800" cy="2667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Eingabe </a:t>
          </a:r>
          <a:r>
            <a:rPr lang="en-US" cap="none" sz="1000" b="1" i="0" u="none" baseline="0">
              <a:solidFill>
                <a:srgbClr val="FFFF00"/>
              </a:solidFill>
              <a:latin typeface="Arial"/>
              <a:ea typeface="Arial"/>
              <a:cs typeface="Arial"/>
            </a:rPr>
            <a:t>Einkommen</a:t>
          </a:r>
        </a:p>
      </xdr:txBody>
    </xdr:sp>
    <xdr:clientData/>
  </xdr:twoCellAnchor>
  <xdr:twoCellAnchor>
    <xdr:from>
      <xdr:col>11</xdr:col>
      <xdr:colOff>152400</xdr:colOff>
      <xdr:row>0</xdr:row>
      <xdr:rowOff>123825</xdr:rowOff>
    </xdr:from>
    <xdr:to>
      <xdr:col>13</xdr:col>
      <xdr:colOff>695325</xdr:colOff>
      <xdr:row>2</xdr:row>
      <xdr:rowOff>9525</xdr:rowOff>
    </xdr:to>
    <xdr:sp>
      <xdr:nvSpPr>
        <xdr:cNvPr id="2" name="Rectangle 61">
          <a:hlinkClick r:id="rId2"/>
        </xdr:cNvPr>
        <xdr:cNvSpPr>
          <a:spLocks/>
        </xdr:cNvSpPr>
      </xdr:nvSpPr>
      <xdr:spPr>
        <a:xfrm>
          <a:off x="5943600" y="123825"/>
          <a:ext cx="1447800" cy="2476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Zurück zum </a:t>
          </a:r>
          <a:r>
            <a:rPr lang="en-US" cap="none" sz="1000" b="1" i="0" u="none" baseline="0">
              <a:solidFill>
                <a:srgbClr val="FFFF00"/>
              </a:solidFill>
              <a:latin typeface="Arial"/>
              <a:ea typeface="Arial"/>
              <a:cs typeface="Arial"/>
            </a:rPr>
            <a:t>Blatt Daten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828675</xdr:colOff>
      <xdr:row>43</xdr:row>
      <xdr:rowOff>123825</xdr:rowOff>
    </xdr:from>
    <xdr:to>
      <xdr:col>9</xdr:col>
      <xdr:colOff>828675</xdr:colOff>
      <xdr:row>45</xdr:row>
      <xdr:rowOff>38100</xdr:rowOff>
    </xdr:to>
    <xdr:sp>
      <xdr:nvSpPr>
        <xdr:cNvPr id="1" name="Rectangle 26">
          <a:hlinkClick r:id="rId1"/>
        </xdr:cNvPr>
        <xdr:cNvSpPr>
          <a:spLocks/>
        </xdr:cNvSpPr>
      </xdr:nvSpPr>
      <xdr:spPr>
        <a:xfrm>
          <a:off x="6848475" y="7124700"/>
          <a:ext cx="1676400" cy="2381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Eingabe </a:t>
          </a:r>
          <a:r>
            <a:rPr lang="en-US" cap="none" sz="1000" b="1" i="0" u="none" baseline="0">
              <a:solidFill>
                <a:srgbClr val="FFFF00"/>
              </a:solidFill>
              <a:latin typeface="Arial"/>
              <a:ea typeface="Arial"/>
              <a:cs typeface="Arial"/>
            </a:rPr>
            <a:t>Vermögen</a:t>
          </a:r>
        </a:p>
      </xdr:txBody>
    </xdr:sp>
    <xdr:clientData/>
  </xdr:twoCellAnchor>
  <xdr:twoCellAnchor>
    <xdr:from>
      <xdr:col>7</xdr:col>
      <xdr:colOff>828675</xdr:colOff>
      <xdr:row>45</xdr:row>
      <xdr:rowOff>114300</xdr:rowOff>
    </xdr:from>
    <xdr:to>
      <xdr:col>9</xdr:col>
      <xdr:colOff>828675</xdr:colOff>
      <xdr:row>47</xdr:row>
      <xdr:rowOff>28575</xdr:rowOff>
    </xdr:to>
    <xdr:sp>
      <xdr:nvSpPr>
        <xdr:cNvPr id="2" name="Rectangle 27">
          <a:hlinkClick r:id="rId2"/>
        </xdr:cNvPr>
        <xdr:cNvSpPr>
          <a:spLocks/>
        </xdr:cNvSpPr>
      </xdr:nvSpPr>
      <xdr:spPr>
        <a:xfrm>
          <a:off x="6848475" y="7439025"/>
          <a:ext cx="1676400" cy="2381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Kinderzuschlag</a:t>
          </a:r>
        </a:p>
      </xdr:txBody>
    </xdr:sp>
    <xdr:clientData/>
  </xdr:twoCellAnchor>
  <xdr:twoCellAnchor>
    <xdr:from>
      <xdr:col>7</xdr:col>
      <xdr:colOff>828675</xdr:colOff>
      <xdr:row>47</xdr:row>
      <xdr:rowOff>133350</xdr:rowOff>
    </xdr:from>
    <xdr:to>
      <xdr:col>9</xdr:col>
      <xdr:colOff>828675</xdr:colOff>
      <xdr:row>49</xdr:row>
      <xdr:rowOff>47625</xdr:rowOff>
    </xdr:to>
    <xdr:sp>
      <xdr:nvSpPr>
        <xdr:cNvPr id="3" name="Rectangle 28">
          <a:hlinkClick r:id="rId3"/>
        </xdr:cNvPr>
        <xdr:cNvSpPr>
          <a:spLocks/>
        </xdr:cNvSpPr>
      </xdr:nvSpPr>
      <xdr:spPr>
        <a:xfrm>
          <a:off x="6848475" y="7781925"/>
          <a:ext cx="1676400" cy="2381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Anspruch</a:t>
          </a:r>
        </a:p>
      </xdr:txBody>
    </xdr:sp>
    <xdr:clientData/>
  </xdr:twoCellAnchor>
  <xdr:twoCellAnchor>
    <xdr:from>
      <xdr:col>9</xdr:col>
      <xdr:colOff>228600</xdr:colOff>
      <xdr:row>0</xdr:row>
      <xdr:rowOff>66675</xdr:rowOff>
    </xdr:from>
    <xdr:to>
      <xdr:col>11</xdr:col>
      <xdr:colOff>0</xdr:colOff>
      <xdr:row>1</xdr:row>
      <xdr:rowOff>66675</xdr:rowOff>
    </xdr:to>
    <xdr:sp>
      <xdr:nvSpPr>
        <xdr:cNvPr id="4" name="Rectangle 30">
          <a:hlinkClick r:id="rId4"/>
        </xdr:cNvPr>
        <xdr:cNvSpPr>
          <a:spLocks/>
        </xdr:cNvSpPr>
      </xdr:nvSpPr>
      <xdr:spPr>
        <a:xfrm>
          <a:off x="7924800" y="66675"/>
          <a:ext cx="1447800" cy="2000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Zurück zum </a:t>
          </a:r>
          <a:r>
            <a:rPr lang="en-US" cap="none" sz="1000" b="1" i="0" u="none" baseline="0">
              <a:solidFill>
                <a:srgbClr val="FFFF00"/>
              </a:solidFill>
              <a:latin typeface="Arial"/>
              <a:ea typeface="Arial"/>
              <a:cs typeface="Arial"/>
            </a:rPr>
            <a:t>Blatt Daten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30</xdr:row>
      <xdr:rowOff>133350</xdr:rowOff>
    </xdr:from>
    <xdr:to>
      <xdr:col>10</xdr:col>
      <xdr:colOff>152400</xdr:colOff>
      <xdr:row>32</xdr:row>
      <xdr:rowOff>38100</xdr:rowOff>
    </xdr:to>
    <xdr:sp>
      <xdr:nvSpPr>
        <xdr:cNvPr id="1" name="Rectangle 14">
          <a:hlinkClick r:id="rId1"/>
        </xdr:cNvPr>
        <xdr:cNvSpPr>
          <a:spLocks/>
        </xdr:cNvSpPr>
      </xdr:nvSpPr>
      <xdr:spPr>
        <a:xfrm>
          <a:off x="6905625" y="5029200"/>
          <a:ext cx="1676400" cy="2286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Kinderzuschlag</a:t>
          </a:r>
        </a:p>
      </xdr:txBody>
    </xdr:sp>
    <xdr:clientData/>
  </xdr:twoCellAnchor>
  <xdr:twoCellAnchor>
    <xdr:from>
      <xdr:col>8</xdr:col>
      <xdr:colOff>0</xdr:colOff>
      <xdr:row>32</xdr:row>
      <xdr:rowOff>142875</xdr:rowOff>
    </xdr:from>
    <xdr:to>
      <xdr:col>10</xdr:col>
      <xdr:colOff>152400</xdr:colOff>
      <xdr:row>34</xdr:row>
      <xdr:rowOff>47625</xdr:rowOff>
    </xdr:to>
    <xdr:sp>
      <xdr:nvSpPr>
        <xdr:cNvPr id="2" name="Rectangle 17">
          <a:hlinkClick r:id="rId2"/>
        </xdr:cNvPr>
        <xdr:cNvSpPr>
          <a:spLocks/>
        </xdr:cNvSpPr>
      </xdr:nvSpPr>
      <xdr:spPr>
        <a:xfrm>
          <a:off x="6905625" y="5362575"/>
          <a:ext cx="1676400" cy="2286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Anspruch</a:t>
          </a:r>
        </a:p>
      </xdr:txBody>
    </xdr:sp>
    <xdr:clientData/>
  </xdr:twoCellAnchor>
  <xdr:twoCellAnchor>
    <xdr:from>
      <xdr:col>9</xdr:col>
      <xdr:colOff>66675</xdr:colOff>
      <xdr:row>0</xdr:row>
      <xdr:rowOff>57150</xdr:rowOff>
    </xdr:from>
    <xdr:to>
      <xdr:col>10</xdr:col>
      <xdr:colOff>752475</xdr:colOff>
      <xdr:row>1</xdr:row>
      <xdr:rowOff>57150</xdr:rowOff>
    </xdr:to>
    <xdr:sp>
      <xdr:nvSpPr>
        <xdr:cNvPr id="3" name="Rectangle 19">
          <a:hlinkClick r:id="rId3"/>
        </xdr:cNvPr>
        <xdr:cNvSpPr>
          <a:spLocks/>
        </xdr:cNvSpPr>
      </xdr:nvSpPr>
      <xdr:spPr>
        <a:xfrm>
          <a:off x="7734300" y="57150"/>
          <a:ext cx="1447800" cy="2000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Zurück zum </a:t>
          </a:r>
          <a:r>
            <a:rPr lang="en-US" cap="none" sz="1000" b="1" i="0" u="none" baseline="0">
              <a:solidFill>
                <a:srgbClr val="FFFF00"/>
              </a:solidFill>
              <a:latin typeface="Arial"/>
              <a:ea typeface="Arial"/>
              <a:cs typeface="Arial"/>
            </a:rPr>
            <a:t>Blatt Daten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37</xdr:row>
      <xdr:rowOff>0</xdr:rowOff>
    </xdr:from>
    <xdr:to>
      <xdr:col>11</xdr:col>
      <xdr:colOff>361950</xdr:colOff>
      <xdr:row>38</xdr:row>
      <xdr:rowOff>104775</xdr:rowOff>
    </xdr:to>
    <xdr:sp>
      <xdr:nvSpPr>
        <xdr:cNvPr id="1" name="Line 19"/>
        <xdr:cNvSpPr>
          <a:spLocks/>
        </xdr:cNvSpPr>
      </xdr:nvSpPr>
      <xdr:spPr>
        <a:xfrm>
          <a:off x="8620125" y="6067425"/>
          <a:ext cx="0" cy="266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38</xdr:row>
      <xdr:rowOff>95250</xdr:rowOff>
    </xdr:from>
    <xdr:to>
      <xdr:col>11</xdr:col>
      <xdr:colOff>361950</xdr:colOff>
      <xdr:row>38</xdr:row>
      <xdr:rowOff>95250</xdr:rowOff>
    </xdr:to>
    <xdr:sp>
      <xdr:nvSpPr>
        <xdr:cNvPr id="2" name="Line 20"/>
        <xdr:cNvSpPr>
          <a:spLocks/>
        </xdr:cNvSpPr>
      </xdr:nvSpPr>
      <xdr:spPr>
        <a:xfrm flipH="1">
          <a:off x="4953000" y="6324600"/>
          <a:ext cx="366712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29</xdr:row>
      <xdr:rowOff>104775</xdr:rowOff>
    </xdr:from>
    <xdr:to>
      <xdr:col>6</xdr:col>
      <xdr:colOff>523875</xdr:colOff>
      <xdr:row>38</xdr:row>
      <xdr:rowOff>95250</xdr:rowOff>
    </xdr:to>
    <xdr:sp>
      <xdr:nvSpPr>
        <xdr:cNvPr id="3" name="Line 21"/>
        <xdr:cNvSpPr>
          <a:spLocks/>
        </xdr:cNvSpPr>
      </xdr:nvSpPr>
      <xdr:spPr>
        <a:xfrm flipV="1">
          <a:off x="4953000" y="4876800"/>
          <a:ext cx="0" cy="14478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29</xdr:row>
      <xdr:rowOff>104775</xdr:rowOff>
    </xdr:from>
    <xdr:to>
      <xdr:col>6</xdr:col>
      <xdr:colOff>523875</xdr:colOff>
      <xdr:row>29</xdr:row>
      <xdr:rowOff>104775</xdr:rowOff>
    </xdr:to>
    <xdr:sp>
      <xdr:nvSpPr>
        <xdr:cNvPr id="4" name="Line 22"/>
        <xdr:cNvSpPr>
          <a:spLocks/>
        </xdr:cNvSpPr>
      </xdr:nvSpPr>
      <xdr:spPr>
        <a:xfrm flipH="1">
          <a:off x="4572000" y="4876800"/>
          <a:ext cx="381000" cy="0"/>
        </a:xfrm>
        <a:prstGeom prst="line">
          <a:avLst/>
        </a:prstGeom>
        <a:noFill/>
        <a:ln w="158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85</xdr:row>
      <xdr:rowOff>114300</xdr:rowOff>
    </xdr:from>
    <xdr:to>
      <xdr:col>6</xdr:col>
      <xdr:colOff>514350</xdr:colOff>
      <xdr:row>87</xdr:row>
      <xdr:rowOff>19050</xdr:rowOff>
    </xdr:to>
    <xdr:sp>
      <xdr:nvSpPr>
        <xdr:cNvPr id="5" name="Rectangle 24">
          <a:hlinkClick r:id="rId1"/>
        </xdr:cNvPr>
        <xdr:cNvSpPr>
          <a:spLocks/>
        </xdr:cNvSpPr>
      </xdr:nvSpPr>
      <xdr:spPr>
        <a:xfrm>
          <a:off x="3324225" y="14001750"/>
          <a:ext cx="1619250" cy="2286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Berechnung </a:t>
          </a:r>
          <a:r>
            <a:rPr lang="en-US" cap="none" sz="1000" b="1" i="0" u="none" baseline="0">
              <a:solidFill>
                <a:srgbClr val="FFFF00"/>
              </a:solidFill>
              <a:latin typeface="Arial"/>
              <a:ea typeface="Arial"/>
              <a:cs typeface="Arial"/>
            </a:rPr>
            <a:t>Anspruch</a:t>
          </a:r>
        </a:p>
      </xdr:txBody>
    </xdr:sp>
    <xdr:clientData/>
  </xdr:twoCellAnchor>
  <xdr:twoCellAnchor>
    <xdr:from>
      <xdr:col>7</xdr:col>
      <xdr:colOff>0</xdr:colOff>
      <xdr:row>0</xdr:row>
      <xdr:rowOff>161925</xdr:rowOff>
    </xdr:from>
    <xdr:to>
      <xdr:col>8</xdr:col>
      <xdr:colOff>552450</xdr:colOff>
      <xdr:row>2</xdr:row>
      <xdr:rowOff>28575</xdr:rowOff>
    </xdr:to>
    <xdr:sp>
      <xdr:nvSpPr>
        <xdr:cNvPr id="6" name="Rectangle 26">
          <a:hlinkClick r:id="rId2"/>
        </xdr:cNvPr>
        <xdr:cNvSpPr>
          <a:spLocks/>
        </xdr:cNvSpPr>
      </xdr:nvSpPr>
      <xdr:spPr>
        <a:xfrm>
          <a:off x="5181600" y="161925"/>
          <a:ext cx="1438275" cy="2667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Zurück zum </a:t>
          </a:r>
          <a:r>
            <a:rPr lang="en-US" cap="none" sz="1000" b="1" i="0" u="none" baseline="0">
              <a:solidFill>
                <a:srgbClr val="FFFF00"/>
              </a:solidFill>
              <a:latin typeface="Arial"/>
              <a:ea typeface="Arial"/>
              <a:cs typeface="Arial"/>
            </a:rPr>
            <a:t>Blatt Daten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0</xdr:row>
      <xdr:rowOff>0</xdr:rowOff>
    </xdr:from>
    <xdr:to>
      <xdr:col>13</xdr:col>
      <xdr:colOff>0</xdr:colOff>
      <xdr:row>3</xdr:row>
      <xdr:rowOff>66675</xdr:rowOff>
    </xdr:to>
    <xdr:sp>
      <xdr:nvSpPr>
        <xdr:cNvPr id="1" name="Rectangle 972">
          <a:hlinkClick r:id="rId1"/>
        </xdr:cNvPr>
        <xdr:cNvSpPr>
          <a:spLocks/>
        </xdr:cNvSpPr>
      </xdr:nvSpPr>
      <xdr:spPr>
        <a:xfrm>
          <a:off x="7734300" y="0"/>
          <a:ext cx="1514475" cy="26670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latin typeface="Arial"/>
              <a:ea typeface="Arial"/>
              <a:cs typeface="Arial"/>
            </a:rPr>
            <a:t>Zurück zum </a:t>
          </a:r>
          <a:r>
            <a:rPr lang="en-US" cap="none" sz="1000" b="1" i="0" u="none" baseline="0">
              <a:solidFill>
                <a:srgbClr val="FFFF00"/>
              </a:solidFill>
              <a:latin typeface="Arial"/>
              <a:ea typeface="Arial"/>
              <a:cs typeface="Arial"/>
            </a:rPr>
            <a:t>Blatt Daten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0</xdr:rowOff>
    </xdr:from>
    <xdr:to>
      <xdr:col>12</xdr:col>
      <xdr:colOff>0</xdr:colOff>
      <xdr:row>2</xdr:row>
      <xdr:rowOff>133350</xdr:rowOff>
    </xdr:to>
    <xdr:sp>
      <xdr:nvSpPr>
        <xdr:cNvPr id="1" name="Rectangle 3">
          <a:hlinkClick r:id="rId1"/>
        </xdr:cNvPr>
        <xdr:cNvSpPr>
          <a:spLocks/>
        </xdr:cNvSpPr>
      </xdr:nvSpPr>
      <xdr:spPr>
        <a:xfrm>
          <a:off x="7343775" y="161925"/>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Zum Blatt ALG II</a:t>
          </a:r>
        </a:p>
      </xdr:txBody>
    </xdr:sp>
    <xdr:clientData/>
  </xdr:twoCellAnchor>
  <xdr:twoCellAnchor>
    <xdr:from>
      <xdr:col>8</xdr:col>
      <xdr:colOff>133350</xdr:colOff>
      <xdr:row>1</xdr:row>
      <xdr:rowOff>0</xdr:rowOff>
    </xdr:from>
    <xdr:to>
      <xdr:col>10</xdr:col>
      <xdr:colOff>0</xdr:colOff>
      <xdr:row>2</xdr:row>
      <xdr:rowOff>133350</xdr:rowOff>
    </xdr:to>
    <xdr:sp>
      <xdr:nvSpPr>
        <xdr:cNvPr id="2" name="Rectangle 5">
          <a:hlinkClick r:id="rId2"/>
        </xdr:cNvPr>
        <xdr:cNvSpPr>
          <a:spLocks/>
        </xdr:cNvSpPr>
      </xdr:nvSpPr>
      <xdr:spPr>
        <a:xfrm>
          <a:off x="5819775" y="161925"/>
          <a:ext cx="1390650" cy="2952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00"/>
              </a:solidFill>
              <a:latin typeface="Arial"/>
              <a:ea typeface="Arial"/>
              <a:cs typeface="Arial"/>
            </a:rPr>
            <a:t>Zum Blatt Daten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Info@ArbeitslosengeldII.de" TargetMode="External" /><Relationship Id="rId2" Type="http://schemas.openxmlformats.org/officeDocument/2006/relationships/hyperlink" Target="http://www.unterhalt-berechnen.de/" TargetMode="External" /><Relationship Id="rId3" Type="http://schemas.openxmlformats.org/officeDocument/2006/relationships/hyperlink" Target="http://www.arbeitslosengeldii.de/" TargetMode="External" /><Relationship Id="rId4" Type="http://schemas.openxmlformats.org/officeDocument/2006/relationships/hyperlink" Target="http://www.michael-brinkmann.de/" TargetMode="External" /><Relationship Id="rId5"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Tabelle9"/>
  <dimension ref="A1:N59"/>
  <sheetViews>
    <sheetView showGridLines="0" showRowColHeaders="0" workbookViewId="0" topLeftCell="A57">
      <selection activeCell="D15" sqref="D15"/>
    </sheetView>
  </sheetViews>
  <sheetFormatPr defaultColWidth="11.421875" defaultRowHeight="12.75" zeroHeight="1"/>
  <cols>
    <col min="1" max="1" width="2.7109375" style="23" customWidth="1"/>
    <col min="2" max="2" width="11.421875" style="23" customWidth="1"/>
    <col min="3" max="12" width="12.7109375" style="23" customWidth="1"/>
    <col min="13" max="13" width="7.28125" style="50" hidden="1" customWidth="1"/>
    <col min="14" max="14" width="2.7109375" style="23" customWidth="1"/>
    <col min="15" max="16384" width="0" style="23" hidden="1" customWidth="1"/>
  </cols>
  <sheetData>
    <row r="1" spans="1:14" ht="12.75">
      <c r="A1" s="223"/>
      <c r="B1" s="223"/>
      <c r="C1" s="223"/>
      <c r="D1" s="223"/>
      <c r="E1" s="223"/>
      <c r="F1" s="223"/>
      <c r="G1" s="223"/>
      <c r="H1" s="223"/>
      <c r="I1" s="223"/>
      <c r="J1" s="223"/>
      <c r="K1" s="223"/>
      <c r="L1" s="223"/>
      <c r="N1" s="223"/>
    </row>
    <row r="2" spans="1:14" ht="20.25">
      <c r="A2" s="223"/>
      <c r="B2" s="567" t="s">
        <v>228</v>
      </c>
      <c r="C2" s="567"/>
      <c r="D2" s="567"/>
      <c r="E2" s="567"/>
      <c r="F2" s="567"/>
      <c r="G2" s="567"/>
      <c r="H2" s="567"/>
      <c r="I2" s="567"/>
      <c r="J2" s="567"/>
      <c r="K2" s="567"/>
      <c r="L2" s="567"/>
      <c r="M2" s="184"/>
      <c r="N2" s="223"/>
    </row>
    <row r="3" spans="1:14" ht="13.5" customHeight="1">
      <c r="A3" s="223"/>
      <c r="B3" s="568" t="s">
        <v>229</v>
      </c>
      <c r="C3" s="568"/>
      <c r="D3" s="568"/>
      <c r="E3" s="568"/>
      <c r="F3" s="568"/>
      <c r="G3" s="568"/>
      <c r="H3" s="568"/>
      <c r="I3" s="568"/>
      <c r="J3" s="568"/>
      <c r="K3" s="568"/>
      <c r="L3" s="568"/>
      <c r="M3" s="185"/>
      <c r="N3" s="223"/>
    </row>
    <row r="4" spans="1:14" ht="13.5" customHeight="1">
      <c r="A4" s="223"/>
      <c r="B4" s="223"/>
      <c r="C4" s="223"/>
      <c r="D4" s="570" t="s">
        <v>433</v>
      </c>
      <c r="E4" s="570"/>
      <c r="F4" s="570"/>
      <c r="G4" s="570"/>
      <c r="H4" s="570"/>
      <c r="I4" s="570"/>
      <c r="J4" s="570"/>
      <c r="K4" s="259"/>
      <c r="L4" s="323"/>
      <c r="M4" s="186"/>
      <c r="N4" s="223"/>
    </row>
    <row r="5" spans="1:14" ht="13.5" customHeight="1">
      <c r="A5" s="223"/>
      <c r="B5" s="569" t="s">
        <v>467</v>
      </c>
      <c r="C5" s="569"/>
      <c r="D5" s="569"/>
      <c r="E5" s="569"/>
      <c r="F5" s="569"/>
      <c r="G5" s="569"/>
      <c r="H5" s="569"/>
      <c r="I5" s="569"/>
      <c r="J5" s="569"/>
      <c r="K5" s="569"/>
      <c r="L5" s="569"/>
      <c r="M5" s="186"/>
      <c r="N5" s="223"/>
    </row>
    <row r="6" spans="1:14" ht="13.5" customHeight="1">
      <c r="A6" s="223"/>
      <c r="B6" s="322"/>
      <c r="C6" s="322"/>
      <c r="D6" s="322"/>
      <c r="E6" s="322"/>
      <c r="F6" s="322"/>
      <c r="G6" s="322"/>
      <c r="H6" s="322"/>
      <c r="I6" s="322"/>
      <c r="J6" s="322"/>
      <c r="K6" s="322"/>
      <c r="L6" s="322"/>
      <c r="M6" s="186"/>
      <c r="N6" s="223"/>
    </row>
    <row r="7" spans="1:14" ht="12.75">
      <c r="A7" s="223"/>
      <c r="B7" s="324" t="s">
        <v>434</v>
      </c>
      <c r="C7" s="228"/>
      <c r="D7" s="228"/>
      <c r="E7" s="228"/>
      <c r="F7" s="228"/>
      <c r="G7" s="228"/>
      <c r="H7" s="228"/>
      <c r="I7" s="228"/>
      <c r="J7" s="228"/>
      <c r="K7" s="228"/>
      <c r="L7" s="228"/>
      <c r="M7" s="47"/>
      <c r="N7" s="223"/>
    </row>
    <row r="8" spans="1:14" ht="12.75">
      <c r="A8" s="223"/>
      <c r="B8" s="147" t="s">
        <v>137</v>
      </c>
      <c r="C8" s="362" t="s">
        <v>248</v>
      </c>
      <c r="D8" s="363"/>
      <c r="E8" s="364"/>
      <c r="F8" s="228"/>
      <c r="G8" s="325"/>
      <c r="H8" s="228"/>
      <c r="I8" s="228"/>
      <c r="J8" s="228"/>
      <c r="K8" s="228"/>
      <c r="L8" s="228"/>
      <c r="M8" s="47"/>
      <c r="N8" s="223"/>
    </row>
    <row r="9" spans="1:14" ht="12.75">
      <c r="A9" s="223"/>
      <c r="B9" s="223"/>
      <c r="C9" s="529">
        <f>IF(C18,"",IF(C19,"",IF(C16,"Name?",IF(C17,"Alter?"))))</f>
      </c>
      <c r="D9" s="529">
        <f aca="true" t="shared" si="0" ref="D9:K9">IF(D18,"",IF(D19,"",IF(D16,"Name?",IF(D17,"Alter?"))))</f>
      </c>
      <c r="E9" s="529">
        <f t="shared" si="0"/>
      </c>
      <c r="F9" s="529">
        <f t="shared" si="0"/>
      </c>
      <c r="G9" s="529">
        <f t="shared" si="0"/>
      </c>
      <c r="H9" s="529">
        <f t="shared" si="0"/>
      </c>
      <c r="I9" s="529">
        <f t="shared" si="0"/>
      </c>
      <c r="J9" s="529">
        <f t="shared" si="0"/>
      </c>
      <c r="K9" s="529">
        <f t="shared" si="0"/>
      </c>
      <c r="L9" s="228"/>
      <c r="M9" s="47"/>
      <c r="N9" s="223"/>
    </row>
    <row r="10" spans="1:14" ht="12.75">
      <c r="A10" s="223"/>
      <c r="B10" s="228"/>
      <c r="C10" s="267" t="s">
        <v>0</v>
      </c>
      <c r="D10" s="564" t="s">
        <v>151</v>
      </c>
      <c r="E10" s="571" t="s">
        <v>448</v>
      </c>
      <c r="F10" s="571" t="s">
        <v>448</v>
      </c>
      <c r="G10" s="564" t="s">
        <v>247</v>
      </c>
      <c r="H10" s="564" t="s">
        <v>247</v>
      </c>
      <c r="I10" s="564" t="s">
        <v>247</v>
      </c>
      <c r="J10" s="564" t="s">
        <v>247</v>
      </c>
      <c r="K10" s="564" t="s">
        <v>247</v>
      </c>
      <c r="L10" s="337"/>
      <c r="M10" s="187"/>
      <c r="N10" s="223"/>
    </row>
    <row r="11" spans="1:14" ht="12.75">
      <c r="A11" s="223"/>
      <c r="B11" s="228"/>
      <c r="C11" s="268" t="s">
        <v>238</v>
      </c>
      <c r="D11" s="565"/>
      <c r="E11" s="572"/>
      <c r="F11" s="572"/>
      <c r="G11" s="565"/>
      <c r="H11" s="565"/>
      <c r="I11" s="565"/>
      <c r="J11" s="565"/>
      <c r="K11" s="565"/>
      <c r="L11" s="337"/>
      <c r="M11" s="187"/>
      <c r="N11" s="223"/>
    </row>
    <row r="12" spans="1:14" ht="12.75">
      <c r="A12" s="223"/>
      <c r="B12" s="96" t="s">
        <v>403</v>
      </c>
      <c r="C12" s="99" t="s">
        <v>447</v>
      </c>
      <c r="D12" s="99" t="s">
        <v>446</v>
      </c>
      <c r="E12" s="99" t="s">
        <v>446</v>
      </c>
      <c r="F12" s="99" t="s">
        <v>446</v>
      </c>
      <c r="G12" s="99" t="s">
        <v>41</v>
      </c>
      <c r="H12" s="99" t="s">
        <v>41</v>
      </c>
      <c r="I12" s="99" t="s">
        <v>41</v>
      </c>
      <c r="J12" s="99" t="s">
        <v>41</v>
      </c>
      <c r="K12" s="99" t="s">
        <v>41</v>
      </c>
      <c r="L12" s="337"/>
      <c r="M12" s="187"/>
      <c r="N12" s="223"/>
    </row>
    <row r="13" spans="1:14" ht="12.75">
      <c r="A13" s="223"/>
      <c r="B13" s="162" t="s">
        <v>37</v>
      </c>
      <c r="C13" s="164"/>
      <c r="D13" s="164"/>
      <c r="E13" s="164"/>
      <c r="F13" s="164"/>
      <c r="G13" s="164"/>
      <c r="H13" s="164"/>
      <c r="I13" s="164"/>
      <c r="J13" s="164"/>
      <c r="K13" s="164"/>
      <c r="L13" s="338"/>
      <c r="M13" s="47"/>
      <c r="N13" s="223"/>
    </row>
    <row r="14" spans="1:14" ht="12.75">
      <c r="A14" s="223"/>
      <c r="B14" s="162" t="s">
        <v>224</v>
      </c>
      <c r="C14" s="164"/>
      <c r="D14" s="164"/>
      <c r="E14" s="164"/>
      <c r="F14" s="164"/>
      <c r="G14" s="164"/>
      <c r="H14" s="164"/>
      <c r="I14" s="164"/>
      <c r="J14" s="164"/>
      <c r="K14" s="164"/>
      <c r="L14" s="339"/>
      <c r="M14" s="47"/>
      <c r="N14" s="223"/>
    </row>
    <row r="15" spans="1:14" ht="12.75">
      <c r="A15" s="223"/>
      <c r="B15" s="239" t="s">
        <v>227</v>
      </c>
      <c r="C15" s="163" t="s">
        <v>435</v>
      </c>
      <c r="D15" s="163" t="s">
        <v>436</v>
      </c>
      <c r="E15" s="163" t="s">
        <v>436</v>
      </c>
      <c r="F15" s="163" t="s">
        <v>436</v>
      </c>
      <c r="G15" s="309" t="s">
        <v>437</v>
      </c>
      <c r="H15" s="309" t="s">
        <v>437</v>
      </c>
      <c r="I15" s="309" t="s">
        <v>437</v>
      </c>
      <c r="J15" s="309" t="s">
        <v>437</v>
      </c>
      <c r="K15" s="309" t="s">
        <v>437</v>
      </c>
      <c r="L15" s="340"/>
      <c r="M15" s="253" t="s">
        <v>409</v>
      </c>
      <c r="N15" s="223"/>
    </row>
    <row r="16" spans="2:14" s="50" customFormat="1" ht="12.75" hidden="1">
      <c r="B16" s="240" t="s">
        <v>419</v>
      </c>
      <c r="C16" s="252" t="b">
        <f>ISBLANK(C13)</f>
        <v>1</v>
      </c>
      <c r="D16" s="252" t="b">
        <f aca="true" t="shared" si="1" ref="D16:K16">ISBLANK(D13)</f>
        <v>1</v>
      </c>
      <c r="E16" s="252" t="b">
        <f t="shared" si="1"/>
        <v>1</v>
      </c>
      <c r="F16" s="252" t="b">
        <f t="shared" si="1"/>
        <v>1</v>
      </c>
      <c r="G16" s="252" t="b">
        <f t="shared" si="1"/>
        <v>1</v>
      </c>
      <c r="H16" s="252" t="b">
        <f t="shared" si="1"/>
        <v>1</v>
      </c>
      <c r="I16" s="252" t="b">
        <f t="shared" si="1"/>
        <v>1</v>
      </c>
      <c r="J16" s="252" t="b">
        <f t="shared" si="1"/>
        <v>1</v>
      </c>
      <c r="K16" s="252" t="b">
        <f t="shared" si="1"/>
        <v>1</v>
      </c>
      <c r="L16" s="252"/>
      <c r="N16" s="299"/>
    </row>
    <row r="17" spans="2:14" s="50" customFormat="1" ht="12.75" hidden="1">
      <c r="B17" s="240" t="s">
        <v>454</v>
      </c>
      <c r="C17" s="252" t="b">
        <f>ISBLANK(C14)</f>
        <v>1</v>
      </c>
      <c r="D17" s="252" t="b">
        <f aca="true" t="shared" si="2" ref="D17:K17">ISBLANK(D14)</f>
        <v>1</v>
      </c>
      <c r="E17" s="252" t="b">
        <f t="shared" si="2"/>
        <v>1</v>
      </c>
      <c r="F17" s="252" t="b">
        <f t="shared" si="2"/>
        <v>1</v>
      </c>
      <c r="G17" s="252" t="b">
        <f t="shared" si="2"/>
        <v>1</v>
      </c>
      <c r="H17" s="252" t="b">
        <f t="shared" si="2"/>
        <v>1</v>
      </c>
      <c r="I17" s="252" t="b">
        <f t="shared" si="2"/>
        <v>1</v>
      </c>
      <c r="J17" s="252" t="b">
        <f t="shared" si="2"/>
        <v>1</v>
      </c>
      <c r="K17" s="252" t="b">
        <f t="shared" si="2"/>
        <v>1</v>
      </c>
      <c r="L17" s="252"/>
      <c r="N17" s="299"/>
    </row>
    <row r="18" spans="2:14" s="50" customFormat="1" ht="12.75" hidden="1">
      <c r="B18" s="240" t="s">
        <v>455</v>
      </c>
      <c r="C18" s="252" t="b">
        <f>AND(C16,C17)</f>
        <v>1</v>
      </c>
      <c r="D18" s="252" t="b">
        <f aca="true" t="shared" si="3" ref="D18:K18">AND(D16,D17)</f>
        <v>1</v>
      </c>
      <c r="E18" s="252" t="b">
        <f t="shared" si="3"/>
        <v>1</v>
      </c>
      <c r="F18" s="252" t="b">
        <f t="shared" si="3"/>
        <v>1</v>
      </c>
      <c r="G18" s="252" t="b">
        <f t="shared" si="3"/>
        <v>1</v>
      </c>
      <c r="H18" s="252" t="b">
        <f t="shared" si="3"/>
        <v>1</v>
      </c>
      <c r="I18" s="252" t="b">
        <f t="shared" si="3"/>
        <v>1</v>
      </c>
      <c r="J18" s="252" t="b">
        <f t="shared" si="3"/>
        <v>1</v>
      </c>
      <c r="K18" s="252" t="b">
        <f t="shared" si="3"/>
        <v>1</v>
      </c>
      <c r="L18" s="252"/>
      <c r="N18" s="299"/>
    </row>
    <row r="19" spans="2:14" s="50" customFormat="1" ht="12.75" hidden="1">
      <c r="B19" s="240" t="s">
        <v>456</v>
      </c>
      <c r="C19" s="252" t="b">
        <f>IF(C16=FALSE,IF(C17=FALSE,TRUE,FALSE))</f>
        <v>0</v>
      </c>
      <c r="D19" s="252" t="b">
        <f aca="true" t="shared" si="4" ref="D19:K19">IF(D16=FALSE,IF(D17=FALSE,TRUE,FALSE))</f>
        <v>0</v>
      </c>
      <c r="E19" s="252" t="b">
        <f t="shared" si="4"/>
        <v>0</v>
      </c>
      <c r="F19" s="252" t="b">
        <f t="shared" si="4"/>
        <v>0</v>
      </c>
      <c r="G19" s="252" t="b">
        <f t="shared" si="4"/>
        <v>0</v>
      </c>
      <c r="H19" s="252" t="b">
        <f t="shared" si="4"/>
        <v>0</v>
      </c>
      <c r="I19" s="252" t="b">
        <f t="shared" si="4"/>
        <v>0</v>
      </c>
      <c r="J19" s="252" t="b">
        <f t="shared" si="4"/>
        <v>0</v>
      </c>
      <c r="K19" s="252" t="b">
        <f t="shared" si="4"/>
        <v>0</v>
      </c>
      <c r="L19" s="252"/>
      <c r="N19" s="299"/>
    </row>
    <row r="20" spans="2:14" s="50" customFormat="1" ht="12.75" hidden="1">
      <c r="B20" s="240" t="s">
        <v>457</v>
      </c>
      <c r="C20" s="252"/>
      <c r="D20" s="252"/>
      <c r="E20" s="252"/>
      <c r="F20" s="252"/>
      <c r="G20" s="186">
        <f>IF(G14="",0,IF(G14&lt;7,1,0))</f>
        <v>0</v>
      </c>
      <c r="H20" s="186">
        <f>IF(H14="",0,IF(H14&lt;7,1,0))</f>
        <v>0</v>
      </c>
      <c r="I20" s="186">
        <f>IF(I14="",0,IF(I14&lt;7,1,0))</f>
        <v>0</v>
      </c>
      <c r="J20" s="186">
        <f>IF(J14="",0,IF(J14&lt;7,1,0))</f>
        <v>0</v>
      </c>
      <c r="K20" s="186">
        <f>IF(K14="",0,IF(K14&lt;7,1,0))</f>
        <v>0</v>
      </c>
      <c r="L20" s="45"/>
      <c r="M20" s="253">
        <f>SUM(G20:K20)</f>
        <v>0</v>
      </c>
      <c r="N20" s="299"/>
    </row>
    <row r="21" spans="2:14" s="50" customFormat="1" ht="12.75" hidden="1">
      <c r="B21" s="240" t="s">
        <v>458</v>
      </c>
      <c r="C21" s="252"/>
      <c r="D21" s="252"/>
      <c r="E21" s="186">
        <f>IF(E14="",0,IF(E14&lt;=0,0,IF(E14&lt;16,1,0)))</f>
        <v>0</v>
      </c>
      <c r="F21" s="186">
        <f aca="true" t="shared" si="5" ref="F21:K21">IF(F14="",0,IF(F14&lt;16,1,0))</f>
        <v>0</v>
      </c>
      <c r="G21" s="186">
        <f t="shared" si="5"/>
        <v>0</v>
      </c>
      <c r="H21" s="186">
        <f t="shared" si="5"/>
        <v>0</v>
      </c>
      <c r="I21" s="186">
        <f t="shared" si="5"/>
        <v>0</v>
      </c>
      <c r="J21" s="186">
        <f t="shared" si="5"/>
        <v>0</v>
      </c>
      <c r="K21" s="186">
        <f t="shared" si="5"/>
        <v>0</v>
      </c>
      <c r="L21" s="45"/>
      <c r="M21" s="253">
        <f>SUM(E21:K21)</f>
        <v>0</v>
      </c>
      <c r="N21" s="299"/>
    </row>
    <row r="22" spans="2:14" s="50" customFormat="1" ht="12.75" hidden="1">
      <c r="B22" s="240" t="s">
        <v>408</v>
      </c>
      <c r="C22" s="186">
        <f>IF(C14&gt;=18,1,0)</f>
        <v>0</v>
      </c>
      <c r="D22" s="186">
        <f aca="true" t="shared" si="6" ref="D22:K22">IF(D14&gt;=18,1,0)</f>
        <v>0</v>
      </c>
      <c r="E22" s="186">
        <f t="shared" si="6"/>
        <v>0</v>
      </c>
      <c r="F22" s="186">
        <f t="shared" si="6"/>
        <v>0</v>
      </c>
      <c r="G22" s="186">
        <f t="shared" si="6"/>
        <v>0</v>
      </c>
      <c r="H22" s="186">
        <f t="shared" si="6"/>
        <v>0</v>
      </c>
      <c r="I22" s="186">
        <f t="shared" si="6"/>
        <v>0</v>
      </c>
      <c r="J22" s="186">
        <f t="shared" si="6"/>
        <v>0</v>
      </c>
      <c r="K22" s="186">
        <f t="shared" si="6"/>
        <v>0</v>
      </c>
      <c r="L22" s="45"/>
      <c r="M22" s="253">
        <f>SUM(C22:K22)</f>
        <v>0</v>
      </c>
      <c r="N22" s="299"/>
    </row>
    <row r="23" spans="1:14" s="50" customFormat="1" ht="12.75">
      <c r="A23" s="261"/>
      <c r="B23" s="326"/>
      <c r="C23" s="327"/>
      <c r="D23" s="327"/>
      <c r="E23" s="327"/>
      <c r="F23" s="327"/>
      <c r="G23" s="327"/>
      <c r="H23" s="327"/>
      <c r="I23" s="327"/>
      <c r="J23" s="327"/>
      <c r="K23" s="327"/>
      <c r="L23" s="328"/>
      <c r="M23" s="253"/>
      <c r="N23" s="300"/>
    </row>
    <row r="24" spans="1:14" ht="12.75">
      <c r="A24" s="228" t="s">
        <v>394</v>
      </c>
      <c r="B24" s="223"/>
      <c r="C24" s="223"/>
      <c r="D24" s="223"/>
      <c r="E24" s="223"/>
      <c r="F24" s="223"/>
      <c r="G24" s="223"/>
      <c r="H24" s="223"/>
      <c r="I24" s="223"/>
      <c r="J24" s="223"/>
      <c r="K24" s="223"/>
      <c r="L24" s="223"/>
      <c r="N24" s="223"/>
    </row>
    <row r="25" spans="1:14" ht="12.75">
      <c r="A25" s="329" t="s">
        <v>233</v>
      </c>
      <c r="B25" s="223" t="s">
        <v>406</v>
      </c>
      <c r="C25" s="223"/>
      <c r="D25" s="223"/>
      <c r="E25" s="223"/>
      <c r="F25" s="223"/>
      <c r="G25" s="223"/>
      <c r="H25" s="330"/>
      <c r="I25" s="223"/>
      <c r="J25" s="223"/>
      <c r="K25" s="223"/>
      <c r="L25" s="223"/>
      <c r="N25" s="223"/>
    </row>
    <row r="26" spans="1:14" ht="12.75">
      <c r="A26" s="329" t="s">
        <v>233</v>
      </c>
      <c r="B26" s="223" t="s">
        <v>237</v>
      </c>
      <c r="C26" s="223"/>
      <c r="D26" s="223"/>
      <c r="E26" s="223"/>
      <c r="F26" s="223"/>
      <c r="G26" s="223"/>
      <c r="H26" s="223"/>
      <c r="I26" s="223"/>
      <c r="J26" s="223"/>
      <c r="K26" s="223"/>
      <c r="L26" s="223"/>
      <c r="N26" s="223"/>
    </row>
    <row r="27" spans="1:14" ht="12.75">
      <c r="A27" s="329"/>
      <c r="B27" s="223" t="s">
        <v>236</v>
      </c>
      <c r="C27" s="223"/>
      <c r="D27" s="223"/>
      <c r="E27" s="223"/>
      <c r="F27" s="223"/>
      <c r="G27" s="223"/>
      <c r="H27" s="223"/>
      <c r="I27" s="223"/>
      <c r="J27" s="223"/>
      <c r="K27" s="223"/>
      <c r="L27" s="223"/>
      <c r="N27" s="223"/>
    </row>
    <row r="28" spans="1:14" ht="12.75">
      <c r="A28" s="329" t="s">
        <v>233</v>
      </c>
      <c r="B28" s="223" t="s">
        <v>230</v>
      </c>
      <c r="C28" s="223"/>
      <c r="D28" s="223"/>
      <c r="E28" s="223"/>
      <c r="F28" s="223"/>
      <c r="G28" s="223"/>
      <c r="H28" s="223"/>
      <c r="I28" s="223"/>
      <c r="J28" s="223"/>
      <c r="K28" s="223"/>
      <c r="L28" s="223"/>
      <c r="N28" s="223"/>
    </row>
    <row r="29" spans="1:14" ht="12.75">
      <c r="A29" s="329" t="s">
        <v>233</v>
      </c>
      <c r="B29" s="223" t="s">
        <v>231</v>
      </c>
      <c r="C29" s="223"/>
      <c r="D29" s="223"/>
      <c r="E29" s="223"/>
      <c r="F29" s="223"/>
      <c r="G29" s="223"/>
      <c r="H29" s="223"/>
      <c r="I29" s="223"/>
      <c r="J29" s="223"/>
      <c r="K29" s="223"/>
      <c r="L29" s="223"/>
      <c r="N29" s="223"/>
    </row>
    <row r="30" spans="1:14" ht="12.75">
      <c r="A30" s="329" t="s">
        <v>233</v>
      </c>
      <c r="B30" s="223" t="s">
        <v>232</v>
      </c>
      <c r="C30" s="223"/>
      <c r="D30" s="223"/>
      <c r="E30" s="223"/>
      <c r="F30" s="223"/>
      <c r="G30" s="223"/>
      <c r="H30" s="223"/>
      <c r="I30" s="223"/>
      <c r="J30" s="223"/>
      <c r="K30" s="223"/>
      <c r="L30" s="223"/>
      <c r="N30" s="223"/>
    </row>
    <row r="31" spans="1:14" ht="12.75">
      <c r="A31" s="329" t="s">
        <v>233</v>
      </c>
      <c r="B31" s="223" t="s">
        <v>235</v>
      </c>
      <c r="C31" s="223"/>
      <c r="D31" s="223"/>
      <c r="E31" s="223"/>
      <c r="F31" s="223"/>
      <c r="G31" s="223"/>
      <c r="H31" s="223"/>
      <c r="I31" s="223"/>
      <c r="J31" s="223"/>
      <c r="K31" s="223"/>
      <c r="L31" s="223"/>
      <c r="N31" s="223"/>
    </row>
    <row r="32" spans="1:14" ht="12.75">
      <c r="A32" s="223"/>
      <c r="B32" s="223" t="s">
        <v>234</v>
      </c>
      <c r="C32" s="223"/>
      <c r="D32" s="223"/>
      <c r="E32" s="223"/>
      <c r="F32" s="223"/>
      <c r="G32" s="223"/>
      <c r="H32" s="223"/>
      <c r="I32" s="223"/>
      <c r="J32" s="223"/>
      <c r="K32" s="223"/>
      <c r="L32" s="223"/>
      <c r="N32" s="223"/>
    </row>
    <row r="33" spans="1:14" ht="12.75">
      <c r="A33" s="223"/>
      <c r="B33" s="331" t="s">
        <v>283</v>
      </c>
      <c r="C33" s="566" t="s">
        <v>284</v>
      </c>
      <c r="D33" s="566"/>
      <c r="E33" s="566"/>
      <c r="F33" s="566"/>
      <c r="G33" s="566"/>
      <c r="H33" s="566"/>
      <c r="I33" s="566"/>
      <c r="J33" s="566"/>
      <c r="K33" s="566"/>
      <c r="L33" s="223"/>
      <c r="N33" s="223"/>
    </row>
    <row r="34" spans="1:14" ht="12.75">
      <c r="A34" s="223"/>
      <c r="B34" s="223"/>
      <c r="C34" s="566" t="s">
        <v>285</v>
      </c>
      <c r="D34" s="566"/>
      <c r="E34" s="566"/>
      <c r="F34" s="566"/>
      <c r="G34" s="566"/>
      <c r="H34" s="566"/>
      <c r="I34" s="566"/>
      <c r="J34" s="566"/>
      <c r="K34" s="566"/>
      <c r="L34" s="223"/>
      <c r="N34" s="223"/>
    </row>
    <row r="35" spans="1:14" ht="12.75">
      <c r="A35" s="223"/>
      <c r="B35" s="223"/>
      <c r="C35" s="574" t="s">
        <v>486</v>
      </c>
      <c r="D35" s="574"/>
      <c r="E35" s="574"/>
      <c r="F35" s="574"/>
      <c r="G35" s="574"/>
      <c r="H35" s="574"/>
      <c r="I35" s="574"/>
      <c r="J35" s="574"/>
      <c r="K35" s="574"/>
      <c r="L35" s="223"/>
      <c r="N35" s="223"/>
    </row>
    <row r="36" spans="1:14" ht="12.75">
      <c r="A36" s="223"/>
      <c r="B36" s="223"/>
      <c r="C36" s="575" t="s">
        <v>489</v>
      </c>
      <c r="D36" s="574"/>
      <c r="E36" s="574"/>
      <c r="F36" s="574"/>
      <c r="G36" s="574"/>
      <c r="H36" s="574"/>
      <c r="I36" s="574"/>
      <c r="J36" s="574"/>
      <c r="K36" s="574"/>
      <c r="L36" s="223"/>
      <c r="N36" s="223"/>
    </row>
    <row r="37" spans="1:14" ht="12.75">
      <c r="A37" s="223"/>
      <c r="B37" s="223"/>
      <c r="C37" s="566" t="s">
        <v>487</v>
      </c>
      <c r="D37" s="566"/>
      <c r="E37" s="566"/>
      <c r="F37" s="566"/>
      <c r="G37" s="566"/>
      <c r="H37" s="566"/>
      <c r="I37" s="566"/>
      <c r="J37" s="566"/>
      <c r="K37" s="566"/>
      <c r="L37" s="223"/>
      <c r="N37" s="223"/>
    </row>
    <row r="38" spans="1:14" ht="12.75">
      <c r="A38" s="223"/>
      <c r="B38" s="223"/>
      <c r="C38" s="573" t="s">
        <v>488</v>
      </c>
      <c r="D38" s="573"/>
      <c r="E38" s="573"/>
      <c r="F38" s="573"/>
      <c r="G38" s="573"/>
      <c r="H38" s="573"/>
      <c r="I38" s="573"/>
      <c r="J38" s="573"/>
      <c r="K38" s="573"/>
      <c r="L38" s="223"/>
      <c r="N38" s="223"/>
    </row>
    <row r="39" spans="1:14" ht="12.75">
      <c r="A39" s="223"/>
      <c r="B39" s="224" t="s">
        <v>491</v>
      </c>
      <c r="C39" s="223"/>
      <c r="D39" s="332"/>
      <c r="E39" s="223"/>
      <c r="F39" s="223"/>
      <c r="G39" s="223"/>
      <c r="H39" s="223"/>
      <c r="I39" s="223"/>
      <c r="J39" s="223"/>
      <c r="K39" s="223"/>
      <c r="L39" s="223"/>
      <c r="N39" s="223"/>
    </row>
    <row r="40" spans="1:14" ht="12.75">
      <c r="A40" s="223"/>
      <c r="B40" s="224" t="s">
        <v>490</v>
      </c>
      <c r="C40" s="223"/>
      <c r="D40" s="332"/>
      <c r="E40" s="223"/>
      <c r="F40" s="223"/>
      <c r="G40" s="223"/>
      <c r="H40" s="223"/>
      <c r="I40" s="223"/>
      <c r="J40" s="223"/>
      <c r="K40" s="223"/>
      <c r="L40" s="223"/>
      <c r="N40" s="223"/>
    </row>
    <row r="41" spans="1:14" ht="12.75">
      <c r="A41" s="223"/>
      <c r="B41" s="224"/>
      <c r="C41" s="223"/>
      <c r="D41" s="332"/>
      <c r="E41" s="223"/>
      <c r="F41" s="223"/>
      <c r="G41" s="223"/>
      <c r="H41" s="223"/>
      <c r="I41" s="223"/>
      <c r="J41" s="223"/>
      <c r="K41" s="223"/>
      <c r="L41" s="223"/>
      <c r="N41" s="223"/>
    </row>
    <row r="42" spans="1:14" ht="12.75">
      <c r="A42" s="223"/>
      <c r="B42" s="333" t="s">
        <v>239</v>
      </c>
      <c r="C42" s="223"/>
      <c r="D42" s="223"/>
      <c r="E42" s="223"/>
      <c r="F42" s="223"/>
      <c r="G42" s="223"/>
      <c r="H42" s="223"/>
      <c r="I42" s="223"/>
      <c r="J42" s="223"/>
      <c r="K42" s="223"/>
      <c r="L42" s="223"/>
      <c r="N42" s="223"/>
    </row>
    <row r="43" spans="1:14" ht="12.75">
      <c r="A43" s="223"/>
      <c r="B43" s="223"/>
      <c r="C43" s="223"/>
      <c r="D43" s="223"/>
      <c r="E43" s="223"/>
      <c r="F43" s="223"/>
      <c r="G43" s="223"/>
      <c r="H43" s="223"/>
      <c r="I43" s="223"/>
      <c r="J43" s="223"/>
      <c r="K43" s="223"/>
      <c r="L43" s="223"/>
      <c r="N43" s="223"/>
    </row>
    <row r="44" spans="1:14" ht="12.75">
      <c r="A44" s="223"/>
      <c r="B44" s="223"/>
      <c r="C44" s="334"/>
      <c r="D44" s="335"/>
      <c r="E44" s="336"/>
      <c r="F44" s="336"/>
      <c r="G44" s="223"/>
      <c r="H44" s="336"/>
      <c r="I44" s="223"/>
      <c r="J44" s="223"/>
      <c r="K44" s="223"/>
      <c r="L44" s="223"/>
      <c r="N44" s="223"/>
    </row>
    <row r="45" spans="1:14" ht="12.75">
      <c r="A45" s="223"/>
      <c r="B45" s="223"/>
      <c r="C45" s="223"/>
      <c r="D45" s="223"/>
      <c r="E45" s="223"/>
      <c r="F45" s="223"/>
      <c r="G45" s="223"/>
      <c r="H45" s="223"/>
      <c r="I45" s="223"/>
      <c r="J45" s="223"/>
      <c r="K45" s="223"/>
      <c r="L45" s="223"/>
      <c r="N45" s="223"/>
    </row>
    <row r="46" spans="1:14" ht="12.75">
      <c r="A46" s="223"/>
      <c r="B46" s="223"/>
      <c r="C46" s="223"/>
      <c r="D46" s="223"/>
      <c r="E46" s="223"/>
      <c r="F46" s="223"/>
      <c r="G46" s="223"/>
      <c r="H46" s="223"/>
      <c r="I46" s="223"/>
      <c r="J46" s="223"/>
      <c r="K46" s="223"/>
      <c r="L46" s="223"/>
      <c r="N46" s="223"/>
    </row>
    <row r="47" spans="1:14" ht="12.75">
      <c r="A47" s="223"/>
      <c r="B47" s="224"/>
      <c r="C47" s="223"/>
      <c r="D47" s="223"/>
      <c r="E47" s="223"/>
      <c r="F47" s="223"/>
      <c r="G47" s="223"/>
      <c r="H47" s="223"/>
      <c r="I47" s="223"/>
      <c r="J47" s="223"/>
      <c r="K47" s="223"/>
      <c r="L47" s="223"/>
      <c r="N47" s="223"/>
    </row>
    <row r="48" s="50" customFormat="1" ht="12.75" hidden="1">
      <c r="B48" s="251"/>
    </row>
    <row r="49" s="50" customFormat="1" ht="12.75" hidden="1"/>
    <row r="50" s="50" customFormat="1" ht="12.75" hidden="1"/>
    <row r="51" s="50" customFormat="1" ht="12.75" hidden="1"/>
    <row r="52" s="50" customFormat="1" ht="12.75" hidden="1"/>
    <row r="53" s="50" customFormat="1" ht="12.75" hidden="1"/>
    <row r="54" s="50" customFormat="1" ht="12.75" hidden="1"/>
    <row r="55" s="50" customFormat="1" ht="12.75" hidden="1"/>
    <row r="56" s="50" customFormat="1" ht="12.75" hidden="1"/>
    <row r="57" spans="1:14" ht="12.75">
      <c r="A57" s="5"/>
      <c r="B57" s="5"/>
      <c r="C57" s="5"/>
      <c r="D57" s="5"/>
      <c r="E57" s="5"/>
      <c r="F57" s="5"/>
      <c r="G57" s="5"/>
      <c r="H57" s="5"/>
      <c r="I57" s="5"/>
      <c r="J57" s="5"/>
      <c r="K57" s="5"/>
      <c r="L57" s="5"/>
      <c r="M57" s="5"/>
      <c r="N57" s="5"/>
    </row>
    <row r="58" spans="1:14" ht="12.75">
      <c r="A58" s="5"/>
      <c r="B58" s="5"/>
      <c r="C58" s="5"/>
      <c r="D58" s="5"/>
      <c r="E58" s="5"/>
      <c r="F58" s="5"/>
      <c r="G58" s="5"/>
      <c r="H58" s="5"/>
      <c r="I58" s="5"/>
      <c r="J58" s="5"/>
      <c r="K58" s="5"/>
      <c r="L58" s="5"/>
      <c r="M58" s="5"/>
      <c r="N58" s="5"/>
    </row>
    <row r="59" spans="1:14" ht="12.75">
      <c r="A59" s="5"/>
      <c r="B59" s="5"/>
      <c r="C59" s="5"/>
      <c r="D59" s="5"/>
      <c r="E59" s="5"/>
      <c r="F59" s="5"/>
      <c r="G59" s="5"/>
      <c r="H59" s="5"/>
      <c r="I59" s="5"/>
      <c r="J59" s="5"/>
      <c r="K59" s="5"/>
      <c r="L59" s="5"/>
      <c r="M59" s="5"/>
      <c r="N59" s="5"/>
    </row>
  </sheetData>
  <sheetProtection password="C724" sheet="1" objects="1" scenarios="1"/>
  <mergeCells count="18">
    <mergeCell ref="C37:K37"/>
    <mergeCell ref="C38:K38"/>
    <mergeCell ref="C35:K35"/>
    <mergeCell ref="C36:K36"/>
    <mergeCell ref="C33:K33"/>
    <mergeCell ref="C34:K34"/>
    <mergeCell ref="B2:L2"/>
    <mergeCell ref="B3:L3"/>
    <mergeCell ref="B5:L5"/>
    <mergeCell ref="D4:J4"/>
    <mergeCell ref="D10:D11"/>
    <mergeCell ref="E10:E11"/>
    <mergeCell ref="F10:F11"/>
    <mergeCell ref="G10:G11"/>
    <mergeCell ref="H10:H11"/>
    <mergeCell ref="I10:I11"/>
    <mergeCell ref="J10:J11"/>
    <mergeCell ref="K10:K11"/>
  </mergeCells>
  <dataValidations count="4">
    <dataValidation type="textLength" operator="greaterThan" showErrorMessage="1" errorTitle="Fehler" error="Geben Sie einen Namen ein!" sqref="C13:K13">
      <formula1>0</formula1>
    </dataValidation>
    <dataValidation type="whole" allowBlank="1" showErrorMessage="1" errorTitle="Fehler" error="Nur Werte zwischen 0 und 14 sind zulässig.&#10;Ggf. Feld mit Taste &quot;Entf&quot; löschen." sqref="G14:K14">
      <formula1>0</formula1>
      <formula2>14</formula2>
    </dataValidation>
    <dataValidation type="whole" allowBlank="1" showErrorMessage="1" prompt="Geben Sie hier ein Alter von 15-64 ein." errorTitle="Fehler" error="Nur Werte zwischen 15 und 64 sind zulässig.&#10;Ggf. Feld mit Taste &quot;Entf&quot; löschen." sqref="C14">
      <formula1>15</formula1>
      <formula2>64</formula2>
    </dataValidation>
    <dataValidation type="whole" operator="greaterThanOrEqual" allowBlank="1" showInputMessage="1" showErrorMessage="1" errorTitle="Fehler" error="Nur Werte ab 15 sind erlaubt.&#10;Ggf. mit Taste &quot;Entf&quot; löschen." sqref="D14:F14">
      <formula1>15</formula1>
    </dataValidation>
  </dataValidation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
  <dimension ref="A1:Y141"/>
  <sheetViews>
    <sheetView showGridLines="0" showRowColHeaders="0" workbookViewId="0" topLeftCell="A127">
      <selection activeCell="K91" sqref="K91"/>
    </sheetView>
  </sheetViews>
  <sheetFormatPr defaultColWidth="10.7109375" defaultRowHeight="12.75"/>
  <cols>
    <col min="1" max="1" width="2.8515625" style="23" bestFit="1" customWidth="1"/>
    <col min="2" max="2" width="3.140625" style="23" customWidth="1"/>
    <col min="3" max="3" width="16.140625" style="23" customWidth="1"/>
    <col min="4" max="4" width="9.00390625" style="23" customWidth="1"/>
    <col min="5" max="5" width="13.57421875" style="23" customWidth="1"/>
    <col min="6" max="6" width="2.7109375" style="23" customWidth="1"/>
    <col min="7" max="7" width="12.421875" style="23" customWidth="1"/>
    <col min="8" max="8" width="2.7109375" style="23" customWidth="1"/>
    <col min="9" max="9" width="10.7109375" style="23" customWidth="1"/>
    <col min="10" max="10" width="2.421875" style="23" customWidth="1"/>
    <col min="11" max="11" width="12.7109375" style="23" bestFit="1" customWidth="1"/>
    <col min="12" max="12" width="2.421875" style="23" customWidth="1"/>
    <col min="13" max="13" width="12.7109375" style="23" customWidth="1"/>
    <col min="14" max="14" width="7.140625" style="39" hidden="1" customWidth="1"/>
    <col min="15" max="17" width="6.8515625" style="60" hidden="1" customWidth="1"/>
    <col min="18" max="18" width="7.8515625" style="240" hidden="1" customWidth="1"/>
    <col min="19" max="19" width="2.7109375" style="50" customWidth="1"/>
    <col min="20" max="24" width="10.7109375" style="50" customWidth="1"/>
    <col min="25" max="25" width="11.421875" style="50" customWidth="1"/>
    <col min="26" max="229" width="11.421875" style="5" customWidth="1"/>
    <col min="230" max="16384" width="11.421875" style="22" customWidth="1"/>
  </cols>
  <sheetData>
    <row r="1" spans="1:19" ht="15.75">
      <c r="A1" s="223"/>
      <c r="B1" s="365" t="s">
        <v>417</v>
      </c>
      <c r="C1" s="223"/>
      <c r="D1" s="223"/>
      <c r="E1" s="223"/>
      <c r="F1" s="223"/>
      <c r="G1" s="223"/>
      <c r="H1" s="223"/>
      <c r="I1" s="223"/>
      <c r="J1" s="223"/>
      <c r="K1" s="223"/>
      <c r="L1" s="223"/>
      <c r="M1" s="223"/>
      <c r="N1" s="260"/>
      <c r="O1" s="240"/>
      <c r="P1" s="240"/>
      <c r="Q1" s="240"/>
      <c r="S1" s="223"/>
    </row>
    <row r="2" spans="1:19" ht="12.75">
      <c r="A2" s="223"/>
      <c r="B2" s="504" t="s">
        <v>416</v>
      </c>
      <c r="C2" s="317"/>
      <c r="D2" s="316"/>
      <c r="E2" s="318"/>
      <c r="F2" s="319"/>
      <c r="G2" s="319"/>
      <c r="H2" s="319"/>
      <c r="I2" s="319"/>
      <c r="J2" s="319"/>
      <c r="K2" s="319"/>
      <c r="L2" s="319"/>
      <c r="M2" s="223"/>
      <c r="N2" s="35"/>
      <c r="O2" s="34"/>
      <c r="P2" s="35"/>
      <c r="Q2" s="35"/>
      <c r="R2" s="241"/>
      <c r="S2" s="223"/>
    </row>
    <row r="3" spans="1:25" ht="12.75">
      <c r="A3" s="223"/>
      <c r="B3" s="224"/>
      <c r="C3" s="223"/>
      <c r="D3" s="223"/>
      <c r="E3" s="223"/>
      <c r="F3" s="319"/>
      <c r="G3" s="319"/>
      <c r="H3" s="319"/>
      <c r="I3" s="319"/>
      <c r="J3" s="319"/>
      <c r="K3" s="319"/>
      <c r="L3" s="319"/>
      <c r="M3" s="320"/>
      <c r="R3" s="241"/>
      <c r="S3" s="223"/>
      <c r="W3" s="243"/>
      <c r="X3" s="243"/>
      <c r="Y3" s="243"/>
    </row>
    <row r="4" spans="1:25" ht="12.75">
      <c r="A4" s="333" t="s">
        <v>3</v>
      </c>
      <c r="B4" s="25" t="s">
        <v>461</v>
      </c>
      <c r="C4" s="5"/>
      <c r="D4" s="5"/>
      <c r="E4" s="5"/>
      <c r="F4" s="5"/>
      <c r="G4" s="5"/>
      <c r="H4" s="5"/>
      <c r="I4" s="5"/>
      <c r="J4" s="5"/>
      <c r="K4" s="5"/>
      <c r="L4" s="111"/>
      <c r="M4" s="111"/>
      <c r="N4" s="178">
        <v>1</v>
      </c>
      <c r="O4" s="176" t="s">
        <v>242</v>
      </c>
      <c r="P4" s="175"/>
      <c r="Q4" s="175"/>
      <c r="R4" s="241"/>
      <c r="S4" s="223"/>
      <c r="W4" s="243"/>
      <c r="X4" s="243"/>
      <c r="Y4" s="243"/>
    </row>
    <row r="5" spans="1:25" ht="12.75">
      <c r="A5" s="333"/>
      <c r="B5" s="265"/>
      <c r="C5" s="360" t="s">
        <v>395</v>
      </c>
      <c r="D5" s="83"/>
      <c r="E5" s="5"/>
      <c r="F5" s="5"/>
      <c r="G5" s="5"/>
      <c r="H5" s="5"/>
      <c r="I5" s="5"/>
      <c r="J5" s="5"/>
      <c r="K5" s="5"/>
      <c r="L5" s="111"/>
      <c r="M5" s="111"/>
      <c r="N5" s="178" t="b">
        <f>IF(Daten!M22&gt;=2,TRUE,FALSE)</f>
        <v>0</v>
      </c>
      <c r="O5" s="176" t="s">
        <v>410</v>
      </c>
      <c r="P5" s="175"/>
      <c r="Q5" s="175"/>
      <c r="R5" s="241"/>
      <c r="S5" s="223"/>
      <c r="W5" s="243"/>
      <c r="X5" s="243"/>
      <c r="Y5" s="243"/>
    </row>
    <row r="6" spans="1:25" ht="12.75">
      <c r="A6" s="333"/>
      <c r="B6" s="61"/>
      <c r="C6" s="103" t="s">
        <v>396</v>
      </c>
      <c r="D6" s="5"/>
      <c r="E6" s="5"/>
      <c r="F6" s="36"/>
      <c r="G6" s="5"/>
      <c r="H6" s="73" t="str">
        <f>IF(N4=1,"Regelleistung (West):","Regelleistung (Ost):")</f>
        <v>Regelleistung (West):</v>
      </c>
      <c r="I6" s="361">
        <f>VLOOKUP(Konfig!D6,Konfig!D6:E6,N4,FALSE)</f>
        <v>345</v>
      </c>
      <c r="J6" s="5"/>
      <c r="K6" s="5"/>
      <c r="L6" s="111"/>
      <c r="M6" s="111"/>
      <c r="N6" s="178" t="b">
        <f>IF(Daten!D13="",FALSE,TRUE)</f>
        <v>0</v>
      </c>
      <c r="O6" s="176" t="s">
        <v>415</v>
      </c>
      <c r="P6" s="175"/>
      <c r="Q6" s="175"/>
      <c r="R6" s="241"/>
      <c r="S6" s="223"/>
      <c r="W6" s="243"/>
      <c r="X6" s="243"/>
      <c r="Y6" s="243"/>
    </row>
    <row r="7" spans="1:25" ht="12.75">
      <c r="A7" s="333"/>
      <c r="B7" s="61"/>
      <c r="C7" s="103" t="s">
        <v>2</v>
      </c>
      <c r="D7" s="5"/>
      <c r="E7" s="5"/>
      <c r="F7" s="5"/>
      <c r="G7" s="5"/>
      <c r="H7" s="5"/>
      <c r="I7" s="5"/>
      <c r="J7" s="5"/>
      <c r="K7" s="5"/>
      <c r="L7" s="111"/>
      <c r="M7" s="111"/>
      <c r="N7" s="259" t="b">
        <f>IF(Daten!D14&lt;18,TRUE,FALSE)</f>
        <v>1</v>
      </c>
      <c r="O7" s="226" t="s">
        <v>414</v>
      </c>
      <c r="P7" s="226"/>
      <c r="Q7" s="226"/>
      <c r="R7" s="241"/>
      <c r="S7" s="223"/>
      <c r="W7" s="243"/>
      <c r="X7" s="243"/>
      <c r="Y7" s="243"/>
    </row>
    <row r="8" spans="1:25" ht="12.75">
      <c r="A8" s="223"/>
      <c r="B8" s="5"/>
      <c r="C8" s="5"/>
      <c r="D8" s="5"/>
      <c r="E8" s="5"/>
      <c r="F8" s="5"/>
      <c r="G8" s="5"/>
      <c r="H8" s="5"/>
      <c r="I8" s="5"/>
      <c r="J8" s="5"/>
      <c r="K8" s="5"/>
      <c r="L8" s="165"/>
      <c r="M8" s="166"/>
      <c r="N8" s="259" t="b">
        <f>IF(COUNTIF(Daten!D22:K22,1)=0,TRUE,FALSE)</f>
        <v>1</v>
      </c>
      <c r="O8" s="226" t="s">
        <v>429</v>
      </c>
      <c r="P8" s="226"/>
      <c r="Q8" s="226"/>
      <c r="R8" s="241"/>
      <c r="S8" s="223"/>
      <c r="W8" s="243"/>
      <c r="X8" s="243"/>
      <c r="Y8" s="243"/>
    </row>
    <row r="9" spans="1:25" ht="12.75">
      <c r="A9" s="223"/>
      <c r="B9" s="25" t="s">
        <v>101</v>
      </c>
      <c r="C9" s="25" t="s">
        <v>0</v>
      </c>
      <c r="D9" s="5"/>
      <c r="E9" s="5"/>
      <c r="F9" s="5"/>
      <c r="G9" s="5"/>
      <c r="H9" s="5"/>
      <c r="I9" s="42"/>
      <c r="J9" s="5"/>
      <c r="K9" s="5"/>
      <c r="L9" s="46"/>
      <c r="M9" s="172"/>
      <c r="N9" s="242"/>
      <c r="O9" s="301"/>
      <c r="P9" s="244"/>
      <c r="Q9" s="244"/>
      <c r="R9" s="241"/>
      <c r="S9" s="223"/>
      <c r="W9" s="243"/>
      <c r="X9" s="243"/>
      <c r="Y9" s="243"/>
    </row>
    <row r="10" spans="1:25" ht="12.75">
      <c r="A10" s="223"/>
      <c r="B10" s="25"/>
      <c r="C10" s="73">
        <f>IF(Daten!C16,"",Daten!C13)</f>
      </c>
      <c r="D10" s="263">
        <f>Daten!C14</f>
        <v>0</v>
      </c>
      <c r="E10" s="269">
        <f>IF(Daten!C16,0,IF(N7,VLOOKUP(Konfig!D6,Konfig!D6:E6,N4,FALSE),IF(N8,VLOOKUP(Konfig!D6,Konfig!D6:E6,N4,FALSE),IF(D10&lt;18,VLOOKUP(Konfig!D15,Konfig!D15:E15,N4,FALSE),VLOOKUP(Konfig!D9,Konfig!D9:E9,N4,FALSE)))))</f>
        <v>0</v>
      </c>
      <c r="F10" s="161"/>
      <c r="G10" s="238">
        <f>IF(Daten!C16,"",IF(N8,"100% der Regelleistung",IF(N7,"100% der Regelleistung",IF(N5,"90% der Regelleistung (gerundet), da mind. 2 Volljährige vorhanden","80% der Regelleistung (gerundet)"))))</f>
      </c>
      <c r="H10" s="5"/>
      <c r="I10" s="5"/>
      <c r="J10" s="5"/>
      <c r="K10" s="5"/>
      <c r="L10" s="161"/>
      <c r="M10" s="161"/>
      <c r="N10" s="202"/>
      <c r="O10" s="202"/>
      <c r="P10" s="244"/>
      <c r="Q10" s="244"/>
      <c r="R10" s="241"/>
      <c r="S10" s="223"/>
      <c r="W10" s="243"/>
      <c r="X10" s="243"/>
      <c r="Y10" s="243"/>
    </row>
    <row r="11" spans="1:25" ht="12.75">
      <c r="A11" s="223"/>
      <c r="B11" s="25" t="s">
        <v>102</v>
      </c>
      <c r="C11" s="25" t="s">
        <v>151</v>
      </c>
      <c r="D11" s="264"/>
      <c r="E11" s="269"/>
      <c r="F11" s="5"/>
      <c r="G11" s="5"/>
      <c r="H11" s="32"/>
      <c r="I11" s="42"/>
      <c r="J11" s="28"/>
      <c r="K11" s="5"/>
      <c r="L11" s="154"/>
      <c r="M11" s="154"/>
      <c r="N11" s="245"/>
      <c r="O11" s="246"/>
      <c r="P11" s="203"/>
      <c r="Q11" s="203"/>
      <c r="R11" s="203"/>
      <c r="S11" s="223"/>
      <c r="W11" s="243"/>
      <c r="X11" s="243"/>
      <c r="Y11" s="243"/>
    </row>
    <row r="12" spans="1:25" ht="12.75">
      <c r="A12" s="223"/>
      <c r="B12" s="25"/>
      <c r="C12" s="73">
        <f>IF(Daten!D16,"",Daten!D13)</f>
      </c>
      <c r="D12" s="263">
        <f>Daten!D14</f>
        <v>0</v>
      </c>
      <c r="E12" s="269">
        <f>IF(N6=FALSE,0,IF(N7,VLOOKUP(Konfig!D15,Konfig!D15:E15,N4,FALSE),IF(N5,VLOOKUP(Konfig!D9,Konfig!D9:E9,N4,FALSE),IF(D10&lt;18,VLOOKUP(Konfig!D15,Konfig!D15:E15,N4,FALSE),VLOOKUP(Konfig!D6,Konfig!D6:E6,N4,FALSE)))))</f>
        <v>0</v>
      </c>
      <c r="F12" s="32"/>
      <c r="G12" s="238">
        <f>IF(N6=FALSE,"",IF(N7,"80% der Regelleistung (gerundet)",IF(N5,"90% der Regelleistung (gerundet), da mind. 2 Volljährige vorhanden",IF(D10&lt;18,"80% der Regelleistung (gerundet)",""))))</f>
      </c>
      <c r="H12" s="5"/>
      <c r="I12" s="42"/>
      <c r="J12" s="28"/>
      <c r="K12" s="154"/>
      <c r="L12" s="154"/>
      <c r="M12" s="154"/>
      <c r="N12" s="245"/>
      <c r="O12" s="246"/>
      <c r="P12" s="203"/>
      <c r="Q12" s="203"/>
      <c r="R12" s="203"/>
      <c r="S12" s="223"/>
      <c r="W12" s="243"/>
      <c r="X12" s="243"/>
      <c r="Y12" s="243"/>
    </row>
    <row r="13" spans="1:25" ht="12.75">
      <c r="A13" s="223"/>
      <c r="B13" s="25" t="s">
        <v>103</v>
      </c>
      <c r="C13" s="25" t="s">
        <v>393</v>
      </c>
      <c r="D13" s="264"/>
      <c r="E13" s="269"/>
      <c r="F13" s="5"/>
      <c r="G13" s="5"/>
      <c r="H13" s="5"/>
      <c r="I13" s="42"/>
      <c r="J13" s="28"/>
      <c r="K13" s="154"/>
      <c r="L13" s="154"/>
      <c r="M13" s="154"/>
      <c r="N13" s="245"/>
      <c r="O13" s="246"/>
      <c r="P13" s="203"/>
      <c r="Q13" s="203"/>
      <c r="R13" s="203"/>
      <c r="S13" s="223"/>
      <c r="W13" s="243"/>
      <c r="X13" s="243"/>
      <c r="Y13" s="243"/>
    </row>
    <row r="14" spans="1:25" ht="12.75">
      <c r="A14" s="223"/>
      <c r="B14" s="5"/>
      <c r="C14" s="262">
        <f>IF(Daten!E16,"",Daten!E13)</f>
      </c>
      <c r="D14" s="263">
        <f>Daten!E14</f>
        <v>0</v>
      </c>
      <c r="E14" s="269">
        <f>IF(Daten!E16,0,IF(Daten!E22=0,VLOOKUP(Konfig!D15,Konfig!D15:E15,N4,FALSE),VLOOKUP(Konfig!D9,Konfig!D9:E9,N4,FALSE)))</f>
        <v>0</v>
      </c>
      <c r="F14" s="5"/>
      <c r="G14" s="36">
        <f>IF(Daten!E16,"",IF(D14&lt;18,"80% der Regelleistung (gerundet)",IF(N5,"90% der Regelleistung (gerundet), da mind. 2 Volljährige vorhanden",IF(N7,"80% der Regelleistung (gerundet)",""))))</f>
      </c>
      <c r="H14" s="5"/>
      <c r="I14" s="42"/>
      <c r="J14" s="28"/>
      <c r="K14" s="154"/>
      <c r="L14" s="154"/>
      <c r="M14" s="154"/>
      <c r="N14" s="245"/>
      <c r="O14" s="246"/>
      <c r="P14" s="203"/>
      <c r="Q14" s="203"/>
      <c r="R14" s="203"/>
      <c r="S14" s="223"/>
      <c r="W14" s="243"/>
      <c r="X14" s="243"/>
      <c r="Y14" s="243"/>
    </row>
    <row r="15" spans="1:25" ht="12.75">
      <c r="A15" s="223"/>
      <c r="B15" s="5"/>
      <c r="C15" s="262">
        <f>IF(Daten!F16,"",Daten!F13)</f>
      </c>
      <c r="D15" s="263">
        <f>Daten!F14</f>
        <v>0</v>
      </c>
      <c r="E15" s="269">
        <f>IF(Daten!F16,0,IF(Daten!F22=0,VLOOKUP(Konfig!D15,Konfig!D15:E15,N4,FALSE),VLOOKUP(Konfig!D9,Konfig!D9:E9,N4,FALSE)))</f>
        <v>0</v>
      </c>
      <c r="F15" s="5"/>
      <c r="G15" s="36">
        <f>IF(Daten!F16,"",IF(D15&lt;18,"80% der Regelleistung (gerundet)",IF(N5,"90% der Regelleistung (gerundet), da mind. 2 Volljährige vorhanden",IF(N7,"80% der Regelleistung (gerundet)",""))))</f>
      </c>
      <c r="H15" s="5"/>
      <c r="I15" s="42"/>
      <c r="J15" s="28"/>
      <c r="K15" s="154"/>
      <c r="L15" s="154"/>
      <c r="M15" s="154"/>
      <c r="N15" s="245"/>
      <c r="O15" s="246"/>
      <c r="P15" s="203"/>
      <c r="Q15" s="203"/>
      <c r="R15" s="203"/>
      <c r="S15" s="223"/>
      <c r="W15" s="243"/>
      <c r="X15" s="243"/>
      <c r="Y15" s="243"/>
    </row>
    <row r="16" spans="1:25" ht="12.75">
      <c r="A16" s="223"/>
      <c r="B16" s="223"/>
      <c r="C16" s="223"/>
      <c r="D16" s="223"/>
      <c r="E16" s="223"/>
      <c r="F16" s="223"/>
      <c r="G16" s="223"/>
      <c r="H16" s="223"/>
      <c r="I16" s="223"/>
      <c r="J16" s="223"/>
      <c r="K16" s="259"/>
      <c r="L16" s="259"/>
      <c r="M16" s="259"/>
      <c r="N16" s="35"/>
      <c r="O16" s="34"/>
      <c r="P16" s="34"/>
      <c r="Q16" s="34"/>
      <c r="R16" s="203"/>
      <c r="S16" s="271"/>
      <c r="T16" s="254"/>
      <c r="U16" s="255"/>
      <c r="V16" s="255"/>
      <c r="W16" s="243"/>
      <c r="X16" s="243"/>
      <c r="Y16" s="243"/>
    </row>
    <row r="17" spans="1:25" ht="12.75">
      <c r="A17" s="333" t="s">
        <v>4</v>
      </c>
      <c r="B17" s="25" t="s">
        <v>107</v>
      </c>
      <c r="C17" s="32"/>
      <c r="D17" s="32"/>
      <c r="E17" s="32"/>
      <c r="F17" s="32"/>
      <c r="G17" s="32"/>
      <c r="H17" s="32"/>
      <c r="I17" s="5"/>
      <c r="J17" s="5"/>
      <c r="K17" s="5"/>
      <c r="L17" s="5"/>
      <c r="M17" s="5"/>
      <c r="N17" s="35"/>
      <c r="O17" s="34"/>
      <c r="P17" s="34"/>
      <c r="Q17" s="34"/>
      <c r="R17" s="203"/>
      <c r="S17" s="271"/>
      <c r="T17" s="254"/>
      <c r="U17" s="255"/>
      <c r="V17" s="255"/>
      <c r="W17" s="243"/>
      <c r="X17" s="243"/>
      <c r="Y17" s="243"/>
    </row>
    <row r="18" spans="1:25" ht="12.75">
      <c r="A18" s="223"/>
      <c r="B18" s="155"/>
      <c r="C18" s="5"/>
      <c r="D18" s="5"/>
      <c r="E18" s="5"/>
      <c r="F18" s="5"/>
      <c r="G18" s="5"/>
      <c r="H18" s="5"/>
      <c r="I18" s="5"/>
      <c r="J18" s="5"/>
      <c r="K18" s="5"/>
      <c r="L18" s="5"/>
      <c r="M18" s="5"/>
      <c r="N18" s="35"/>
      <c r="O18" s="34"/>
      <c r="P18" s="34"/>
      <c r="Q18" s="34"/>
      <c r="R18" s="203"/>
      <c r="S18" s="271"/>
      <c r="T18" s="254"/>
      <c r="U18" s="255"/>
      <c r="V18" s="255"/>
      <c r="W18" s="243"/>
      <c r="X18" s="243"/>
      <c r="Y18" s="243"/>
    </row>
    <row r="19" spans="1:25" ht="12.75">
      <c r="A19" s="223"/>
      <c r="B19" s="64" t="s">
        <v>130</v>
      </c>
      <c r="C19" s="65"/>
      <c r="D19" s="5"/>
      <c r="E19" s="5"/>
      <c r="F19" s="5"/>
      <c r="G19" s="8"/>
      <c r="H19" s="8"/>
      <c r="I19" s="5"/>
      <c r="J19" s="5"/>
      <c r="K19" s="5"/>
      <c r="L19" s="5"/>
      <c r="M19" s="5"/>
      <c r="N19" s="175" t="s">
        <v>109</v>
      </c>
      <c r="O19" s="175" t="s">
        <v>1</v>
      </c>
      <c r="P19" s="175" t="s">
        <v>225</v>
      </c>
      <c r="Q19" s="175" t="s">
        <v>226</v>
      </c>
      <c r="R19" s="203"/>
      <c r="S19" s="271"/>
      <c r="T19" s="254"/>
      <c r="U19" s="255"/>
      <c r="V19" s="255"/>
      <c r="W19" s="243"/>
      <c r="X19" s="243"/>
      <c r="Y19" s="243"/>
    </row>
    <row r="20" spans="1:25" ht="12.75">
      <c r="A20" s="371"/>
      <c r="B20" s="66" t="s">
        <v>249</v>
      </c>
      <c r="C20" s="5"/>
      <c r="D20" s="5"/>
      <c r="E20" s="5"/>
      <c r="F20" s="61"/>
      <c r="G20" s="134">
        <f>C10</f>
      </c>
      <c r="H20" s="135"/>
      <c r="I20" s="134">
        <f>C12</f>
      </c>
      <c r="J20" s="136"/>
      <c r="K20" s="137">
        <f>C14</f>
      </c>
      <c r="L20" s="136"/>
      <c r="M20" s="137">
        <f>C15</f>
      </c>
      <c r="N20" s="178" t="b">
        <v>0</v>
      </c>
      <c r="O20" s="178" t="b">
        <v>0</v>
      </c>
      <c r="P20" s="178" t="b">
        <v>0</v>
      </c>
      <c r="Q20" s="178" t="b">
        <v>0</v>
      </c>
      <c r="R20" s="203"/>
      <c r="S20" s="271"/>
      <c r="T20" s="254"/>
      <c r="U20" s="255"/>
      <c r="V20" s="255"/>
      <c r="W20" s="243"/>
      <c r="X20" s="243"/>
      <c r="Y20" s="243"/>
    </row>
    <row r="21" spans="1:25" ht="12.75">
      <c r="A21" s="371"/>
      <c r="B21" s="67"/>
      <c r="C21" s="5"/>
      <c r="D21" s="5"/>
      <c r="E21" s="28" t="s">
        <v>420</v>
      </c>
      <c r="F21" s="28"/>
      <c r="G21" s="269">
        <f>IF(N20=FALSE,0,IF(N20,ROUND(E10*17/100,0),0))</f>
        <v>0</v>
      </c>
      <c r="H21" s="269"/>
      <c r="I21" s="269">
        <f>IF(O20=FALSE,0,IF(O20,ROUND(E12*17/100,0),0))</f>
        <v>0</v>
      </c>
      <c r="J21" s="269"/>
      <c r="K21" s="269">
        <f>IF(Daten!E16,0,IF(P20,ROUND(E14*17/100,0),0))</f>
        <v>0</v>
      </c>
      <c r="L21" s="269">
        <f>IF(Daten!F16,0,IF(Q20,'ALG II'!F14*17/100,0))</f>
        <v>0</v>
      </c>
      <c r="M21" s="530">
        <f>IF(Daten!F16,0,IF(Q20,ROUND(E15*17/100,0),0))</f>
        <v>0</v>
      </c>
      <c r="N21" s="180" t="s">
        <v>252</v>
      </c>
      <c r="O21" s="176"/>
      <c r="P21" s="176"/>
      <c r="Q21" s="176"/>
      <c r="R21" s="203"/>
      <c r="S21" s="228"/>
      <c r="T21" s="256"/>
      <c r="U21" s="257"/>
      <c r="V21" s="257"/>
      <c r="W21" s="243"/>
      <c r="X21" s="243"/>
      <c r="Y21" s="243"/>
    </row>
    <row r="22" spans="1:25" ht="12.75">
      <c r="A22" s="371"/>
      <c r="B22" s="67"/>
      <c r="C22" s="5"/>
      <c r="D22" s="5"/>
      <c r="E22" s="28"/>
      <c r="F22" s="28"/>
      <c r="G22" s="68"/>
      <c r="H22" s="68"/>
      <c r="I22" s="68"/>
      <c r="J22" s="68"/>
      <c r="K22" s="5"/>
      <c r="L22" s="5"/>
      <c r="M22" s="531"/>
      <c r="N22" s="35"/>
      <c r="O22" s="34"/>
      <c r="P22" s="34"/>
      <c r="Q22" s="34"/>
      <c r="R22" s="203"/>
      <c r="S22" s="228"/>
      <c r="T22" s="256"/>
      <c r="U22" s="257"/>
      <c r="V22" s="257"/>
      <c r="W22" s="243"/>
      <c r="X22" s="243"/>
      <c r="Y22" s="243"/>
    </row>
    <row r="23" spans="1:25" ht="12.75">
      <c r="A23" s="223"/>
      <c r="B23" s="64" t="s">
        <v>131</v>
      </c>
      <c r="C23" s="65"/>
      <c r="D23" s="5"/>
      <c r="E23" s="5"/>
      <c r="F23" s="61"/>
      <c r="G23" s="134">
        <f>G20</f>
      </c>
      <c r="H23" s="69"/>
      <c r="I23" s="69"/>
      <c r="J23" s="69"/>
      <c r="K23" s="69"/>
      <c r="L23" s="69"/>
      <c r="M23" s="532"/>
      <c r="N23" s="35"/>
      <c r="O23" s="34"/>
      <c r="P23" s="34"/>
      <c r="Q23" s="34"/>
      <c r="R23" s="203"/>
      <c r="S23" s="258"/>
      <c r="T23" s="256"/>
      <c r="U23" s="257"/>
      <c r="V23" s="257"/>
      <c r="W23" s="243"/>
      <c r="X23" s="243"/>
      <c r="Y23" s="243"/>
    </row>
    <row r="24" spans="1:25" ht="12.75">
      <c r="A24" s="371"/>
      <c r="B24" s="70" t="s">
        <v>7</v>
      </c>
      <c r="C24" s="5"/>
      <c r="D24" s="5"/>
      <c r="E24" s="5"/>
      <c r="F24" s="5"/>
      <c r="G24" s="134"/>
      <c r="H24" s="5"/>
      <c r="I24" s="5"/>
      <c r="J24" s="5"/>
      <c r="K24" s="5"/>
      <c r="L24" s="5"/>
      <c r="M24" s="533"/>
      <c r="N24" s="178" t="b">
        <f>IF(Daten!M20&gt;=1,TRUE,IF(Daten!M21&gt;=2,TRUE,FALSE))</f>
        <v>0</v>
      </c>
      <c r="O24" s="176" t="s">
        <v>251</v>
      </c>
      <c r="P24" s="176"/>
      <c r="Q24" s="176"/>
      <c r="R24" s="203"/>
      <c r="S24" s="258"/>
      <c r="T24" s="256"/>
      <c r="U24" s="257"/>
      <c r="V24" s="257"/>
      <c r="W24" s="243"/>
      <c r="X24" s="243"/>
      <c r="Y24" s="243"/>
    </row>
    <row r="25" spans="1:25" ht="12.75">
      <c r="A25" s="371"/>
      <c r="B25" s="66"/>
      <c r="C25" s="5"/>
      <c r="D25" s="5"/>
      <c r="E25" s="28" t="s">
        <v>421</v>
      </c>
      <c r="F25" s="28"/>
      <c r="G25" s="270">
        <f>IF(N6,0,IF(N24=FALSE,0,IF(N25=FALSE,0,IF(N24,ROUND(E10*36/100,0),0))))</f>
        <v>0</v>
      </c>
      <c r="H25" s="62"/>
      <c r="I25" s="5"/>
      <c r="J25" s="5"/>
      <c r="K25" s="5"/>
      <c r="L25" s="5"/>
      <c r="M25" s="533"/>
      <c r="N25" s="178" t="b">
        <v>0</v>
      </c>
      <c r="O25" s="176" t="s">
        <v>250</v>
      </c>
      <c r="P25" s="176"/>
      <c r="Q25" s="176"/>
      <c r="R25" s="203"/>
      <c r="S25" s="258"/>
      <c r="W25" s="243"/>
      <c r="X25" s="243"/>
      <c r="Y25" s="243"/>
    </row>
    <row r="26" spans="1:25" ht="12.75">
      <c r="A26" s="371"/>
      <c r="B26" s="70" t="s">
        <v>8</v>
      </c>
      <c r="C26" s="5"/>
      <c r="D26" s="216">
        <f>COUNT(Daten!E14:K14)-Daten!E22-Daten!F22</f>
        <v>0</v>
      </c>
      <c r="E26" s="67" t="str">
        <f>IF(D26=1,"Kind","Kinder")</f>
        <v>Kinder</v>
      </c>
      <c r="F26" s="5"/>
      <c r="G26" s="270">
        <f>IF(N6,0,IF(N25,ROUND(E10*12/100*D26,0),0))</f>
        <v>0</v>
      </c>
      <c r="H26" s="43"/>
      <c r="I26" s="43"/>
      <c r="J26" s="43"/>
      <c r="K26" s="43"/>
      <c r="L26" s="43"/>
      <c r="M26" s="533"/>
      <c r="N26" s="35"/>
      <c r="O26" s="34"/>
      <c r="P26" s="34"/>
      <c r="Q26" s="34"/>
      <c r="R26" s="203"/>
      <c r="S26" s="258"/>
      <c r="W26" s="243"/>
      <c r="X26" s="243"/>
      <c r="Y26" s="243"/>
    </row>
    <row r="27" spans="1:25" ht="12.75">
      <c r="A27" s="371"/>
      <c r="B27" s="71"/>
      <c r="C27" s="5"/>
      <c r="D27" s="5"/>
      <c r="E27" s="28" t="s">
        <v>418</v>
      </c>
      <c r="F27" s="28"/>
      <c r="G27" s="269">
        <f>IF(G26&gt;N27,N27,IF(G26&lt;G25,G25,G26))</f>
        <v>0</v>
      </c>
      <c r="H27" s="63"/>
      <c r="I27" s="5"/>
      <c r="J27" s="5"/>
      <c r="K27" s="5"/>
      <c r="L27" s="5"/>
      <c r="M27" s="533"/>
      <c r="N27" s="266">
        <f>ROUND(E10*60/100,0)</f>
        <v>0</v>
      </c>
      <c r="O27" s="180" t="s">
        <v>459</v>
      </c>
      <c r="P27" s="176"/>
      <c r="Q27" s="176"/>
      <c r="R27" s="203"/>
      <c r="S27" s="272"/>
      <c r="T27" s="243"/>
      <c r="U27" s="243"/>
      <c r="V27" s="243"/>
      <c r="W27" s="243"/>
      <c r="X27" s="243"/>
      <c r="Y27" s="243"/>
    </row>
    <row r="28" spans="1:25" ht="12.75">
      <c r="A28" s="371"/>
      <c r="B28" s="71"/>
      <c r="C28" s="5"/>
      <c r="D28" s="5"/>
      <c r="E28" s="5"/>
      <c r="F28" s="5"/>
      <c r="G28" s="5"/>
      <c r="H28" s="5"/>
      <c r="I28" s="5"/>
      <c r="J28" s="5"/>
      <c r="K28" s="5"/>
      <c r="L28" s="5"/>
      <c r="M28" s="533"/>
      <c r="N28" s="35"/>
      <c r="O28" s="34"/>
      <c r="P28" s="34"/>
      <c r="Q28" s="34"/>
      <c r="R28" s="203"/>
      <c r="S28" s="272"/>
      <c r="T28" s="243"/>
      <c r="U28" s="243"/>
      <c r="V28" s="243"/>
      <c r="W28" s="243"/>
      <c r="X28" s="243"/>
      <c r="Y28" s="243"/>
    </row>
    <row r="29" spans="1:25" ht="12.75">
      <c r="A29" s="223"/>
      <c r="B29" s="64" t="s">
        <v>128</v>
      </c>
      <c r="C29" s="65"/>
      <c r="D29" s="5"/>
      <c r="E29" s="5"/>
      <c r="F29" s="5"/>
      <c r="G29" s="5"/>
      <c r="H29" s="69"/>
      <c r="I29" s="5"/>
      <c r="J29" s="69"/>
      <c r="K29" s="5"/>
      <c r="L29" s="69"/>
      <c r="M29" s="533"/>
      <c r="N29" s="175" t="s">
        <v>109</v>
      </c>
      <c r="O29" s="175" t="s">
        <v>1</v>
      </c>
      <c r="P29" s="175" t="s">
        <v>225</v>
      </c>
      <c r="Q29" s="175" t="s">
        <v>226</v>
      </c>
      <c r="R29" s="203"/>
      <c r="S29" s="272"/>
      <c r="T29" s="243"/>
      <c r="U29" s="243"/>
      <c r="V29" s="243"/>
      <c r="W29" s="243"/>
      <c r="X29" s="243"/>
      <c r="Y29" s="243"/>
    </row>
    <row r="30" spans="1:25" ht="12.75">
      <c r="A30" s="371"/>
      <c r="B30" s="66" t="s">
        <v>258</v>
      </c>
      <c r="C30" s="5"/>
      <c r="D30" s="5"/>
      <c r="E30" s="5"/>
      <c r="F30" s="61"/>
      <c r="G30" s="137">
        <f>G20</f>
      </c>
      <c r="H30" s="138"/>
      <c r="I30" s="137">
        <f>I20</f>
      </c>
      <c r="J30" s="138"/>
      <c r="K30" s="137">
        <f>K20</f>
      </c>
      <c r="L30" s="138"/>
      <c r="M30" s="137">
        <f>M20</f>
      </c>
      <c r="N30" s="178" t="b">
        <v>0</v>
      </c>
      <c r="O30" s="179" t="b">
        <v>0</v>
      </c>
      <c r="P30" s="179" t="b">
        <v>0</v>
      </c>
      <c r="Q30" s="179" t="b">
        <v>0</v>
      </c>
      <c r="R30" s="203"/>
      <c r="S30" s="272"/>
      <c r="T30" s="243"/>
      <c r="U30" s="243"/>
      <c r="V30" s="243"/>
      <c r="W30" s="243"/>
      <c r="X30" s="243"/>
      <c r="Y30" s="243"/>
    </row>
    <row r="31" spans="1:19" ht="12.75">
      <c r="A31" s="371"/>
      <c r="B31" s="66"/>
      <c r="C31" s="5"/>
      <c r="D31" s="5"/>
      <c r="E31" s="28" t="s">
        <v>422</v>
      </c>
      <c r="F31" s="28"/>
      <c r="G31" s="269">
        <f>IF(N30,ROUND(E10*35/100,0),0)</f>
        <v>0</v>
      </c>
      <c r="H31" s="269"/>
      <c r="I31" s="269">
        <f>IF(O30,ROUND(E12*35/100,0),0)</f>
        <v>0</v>
      </c>
      <c r="J31" s="269"/>
      <c r="K31" s="269">
        <f>IF(P30,ROUND(E14*35/100,0),0)</f>
        <v>0</v>
      </c>
      <c r="L31" s="269"/>
      <c r="M31" s="530">
        <f>IF(Q30,ROUND(E15*35/100,0),0)</f>
        <v>0</v>
      </c>
      <c r="N31" s="180" t="s">
        <v>253</v>
      </c>
      <c r="O31" s="176"/>
      <c r="P31" s="176"/>
      <c r="Q31" s="176"/>
      <c r="R31" s="203"/>
      <c r="S31" s="223"/>
    </row>
    <row r="32" spans="1:19" ht="12.75">
      <c r="A32" s="371"/>
      <c r="B32" s="71"/>
      <c r="C32" s="5"/>
      <c r="D32" s="5"/>
      <c r="E32" s="5"/>
      <c r="F32" s="5"/>
      <c r="G32" s="5"/>
      <c r="H32" s="5"/>
      <c r="I32" s="5"/>
      <c r="J32" s="5"/>
      <c r="K32" s="5"/>
      <c r="L32" s="5"/>
      <c r="M32" s="533"/>
      <c r="N32" s="35"/>
      <c r="O32" s="34"/>
      <c r="P32" s="34"/>
      <c r="Q32" s="34"/>
      <c r="R32" s="203"/>
      <c r="S32" s="223"/>
    </row>
    <row r="33" spans="1:19" ht="12.75">
      <c r="A33" s="223"/>
      <c r="B33" s="64" t="s">
        <v>129</v>
      </c>
      <c r="C33" s="65"/>
      <c r="D33" s="5"/>
      <c r="E33" s="5"/>
      <c r="F33" s="5"/>
      <c r="G33" s="5"/>
      <c r="H33" s="69"/>
      <c r="I33" s="5"/>
      <c r="J33" s="69"/>
      <c r="K33" s="5"/>
      <c r="L33" s="69"/>
      <c r="M33" s="533"/>
      <c r="N33" s="175" t="s">
        <v>243</v>
      </c>
      <c r="O33" s="173" t="s">
        <v>109</v>
      </c>
      <c r="P33" s="173" t="s">
        <v>1</v>
      </c>
      <c r="Q33" s="173" t="s">
        <v>225</v>
      </c>
      <c r="R33" s="173" t="s">
        <v>226</v>
      </c>
      <c r="S33" s="223"/>
    </row>
    <row r="34" spans="1:19" ht="15" customHeight="1">
      <c r="A34" s="223"/>
      <c r="B34" s="72" t="s">
        <v>145</v>
      </c>
      <c r="C34" s="61"/>
      <c r="D34" s="5"/>
      <c r="E34" s="5"/>
      <c r="F34" s="61"/>
      <c r="G34" s="137">
        <f>G20</f>
      </c>
      <c r="H34" s="138"/>
      <c r="I34" s="137">
        <f>I20</f>
      </c>
      <c r="J34" s="138"/>
      <c r="K34" s="137">
        <f>K20</f>
      </c>
      <c r="L34" s="138"/>
      <c r="M34" s="137">
        <f>M20</f>
      </c>
      <c r="N34" s="178">
        <v>1</v>
      </c>
      <c r="O34" s="190" t="b">
        <v>0</v>
      </c>
      <c r="P34" s="190" t="b">
        <v>0</v>
      </c>
      <c r="Q34" s="190" t="b">
        <v>0</v>
      </c>
      <c r="R34" s="190" t="b">
        <v>0</v>
      </c>
      <c r="S34" s="223"/>
    </row>
    <row r="35" spans="1:19" ht="12.75">
      <c r="A35" s="223"/>
      <c r="B35" s="5"/>
      <c r="C35" s="5"/>
      <c r="D35" s="5"/>
      <c r="E35" s="28"/>
      <c r="F35" s="28"/>
      <c r="G35" s="63">
        <f>IF(O34,VLOOKUP(N34,Konfig!A18:H38,8,FALSE),0)</f>
        <v>0</v>
      </c>
      <c r="H35" s="63"/>
      <c r="I35" s="63">
        <f>IF(N6=FALSE,0,IF(P34,VLOOKUP(N34,Konfig!A18:H38,8,FALSE),0))</f>
        <v>0</v>
      </c>
      <c r="J35" s="63"/>
      <c r="K35" s="63">
        <f>IF(Q34,VLOOKUP(N34,Konfig!A18:H38,8,FALSE),0)</f>
        <v>0</v>
      </c>
      <c r="L35" s="63"/>
      <c r="M35" s="534">
        <f>IF(R34,VLOOKUP(N34,Konfig!A18:H38,8,FALSE),0)</f>
        <v>0</v>
      </c>
      <c r="N35" s="178"/>
      <c r="O35" s="191" t="s">
        <v>254</v>
      </c>
      <c r="P35" s="191"/>
      <c r="Q35" s="191"/>
      <c r="R35" s="191"/>
      <c r="S35" s="223"/>
    </row>
    <row r="36" spans="1:19" ht="15" customHeight="1">
      <c r="A36" s="223"/>
      <c r="B36" s="72" t="s">
        <v>145</v>
      </c>
      <c r="C36" s="61"/>
      <c r="D36" s="5"/>
      <c r="E36" s="5"/>
      <c r="F36" s="61"/>
      <c r="G36" s="189">
        <f>G34</f>
      </c>
      <c r="H36" s="72"/>
      <c r="I36" s="189">
        <f>I34</f>
      </c>
      <c r="J36" s="72"/>
      <c r="K36" s="189">
        <f>K34</f>
      </c>
      <c r="L36" s="72"/>
      <c r="M36" s="137">
        <f>M34</f>
      </c>
      <c r="N36" s="178">
        <v>1</v>
      </c>
      <c r="O36" s="190" t="b">
        <v>0</v>
      </c>
      <c r="P36" s="190" t="b">
        <v>0</v>
      </c>
      <c r="Q36" s="190" t="b">
        <v>0</v>
      </c>
      <c r="R36" s="190" t="b">
        <v>0</v>
      </c>
      <c r="S36" s="223"/>
    </row>
    <row r="37" spans="1:19" ht="12.75">
      <c r="A37" s="223"/>
      <c r="B37" s="5"/>
      <c r="C37" s="5"/>
      <c r="D37" s="5"/>
      <c r="E37" s="28"/>
      <c r="F37" s="28"/>
      <c r="G37" s="63">
        <f>IF(O36,VLOOKUP(N36,Konfig!A18:H38,8,FALSE),0)</f>
        <v>0</v>
      </c>
      <c r="H37" s="63"/>
      <c r="I37" s="63">
        <f>IF(N6=FALSE,0,IF(P36,VLOOKUP(N36,Konfig!A18:H38,8,FALSE),0))</f>
        <v>0</v>
      </c>
      <c r="J37" s="63"/>
      <c r="K37" s="63">
        <f>IF(Q36,VLOOKUP(N36,Konfig!A18:H38,8,FALSE),0)</f>
        <v>0</v>
      </c>
      <c r="L37" s="63"/>
      <c r="M37" s="63">
        <f>IF(R36,VLOOKUP(N36,Konfig!A18:H38,8,FALSE),0)</f>
        <v>0</v>
      </c>
      <c r="N37" s="175"/>
      <c r="O37" s="180" t="s">
        <v>254</v>
      </c>
      <c r="P37" s="176"/>
      <c r="Q37" s="176"/>
      <c r="R37" s="176"/>
      <c r="S37" s="223"/>
    </row>
    <row r="38" spans="1:19" ht="12.75">
      <c r="A38" s="223"/>
      <c r="B38" s="5"/>
      <c r="C38" s="5"/>
      <c r="D38" s="5"/>
      <c r="E38" s="28"/>
      <c r="F38" s="28"/>
      <c r="G38" s="63"/>
      <c r="H38" s="63"/>
      <c r="I38" s="63"/>
      <c r="J38" s="63"/>
      <c r="K38" s="63"/>
      <c r="L38" s="63"/>
      <c r="M38" s="63"/>
      <c r="N38" s="175"/>
      <c r="O38" s="180"/>
      <c r="P38" s="176"/>
      <c r="Q38" s="176"/>
      <c r="R38" s="176"/>
      <c r="S38" s="223"/>
    </row>
    <row r="39" spans="1:19" ht="12.75">
      <c r="A39" s="223"/>
      <c r="B39" s="5"/>
      <c r="C39" s="5"/>
      <c r="D39" s="5"/>
      <c r="E39" s="73" t="s">
        <v>14</v>
      </c>
      <c r="F39" s="73"/>
      <c r="G39" s="62">
        <f>G21+G27+G31+G35+G37</f>
        <v>0</v>
      </c>
      <c r="H39" s="62"/>
      <c r="I39" s="62">
        <f>I21+I27+I31+I35+I37</f>
        <v>0</v>
      </c>
      <c r="J39" s="62"/>
      <c r="K39" s="62">
        <f>K21+K27+K31+K35+K37</f>
        <v>0</v>
      </c>
      <c r="L39" s="62"/>
      <c r="M39" s="62">
        <f>M21+M27+M31+M35+M37</f>
        <v>0</v>
      </c>
      <c r="N39" s="35"/>
      <c r="O39" s="34"/>
      <c r="P39" s="34"/>
      <c r="Q39" s="34"/>
      <c r="R39" s="203"/>
      <c r="S39" s="223"/>
    </row>
    <row r="40" spans="1:19" ht="12.75">
      <c r="A40" s="223"/>
      <c r="B40" s="5"/>
      <c r="C40" s="5"/>
      <c r="D40" s="5"/>
      <c r="E40" s="73" t="s">
        <v>256</v>
      </c>
      <c r="F40" s="73"/>
      <c r="G40" s="62">
        <f>IF(G39=0,0,E10)</f>
        <v>0</v>
      </c>
      <c r="H40" s="62"/>
      <c r="I40" s="62">
        <f>IF(I39=0,0,E12)</f>
        <v>0</v>
      </c>
      <c r="J40" s="62"/>
      <c r="K40" s="62">
        <f>IF(K39=0,0,E14)</f>
        <v>0</v>
      </c>
      <c r="L40" s="62"/>
      <c r="M40" s="62">
        <f>IF(M39=0,0,E15)</f>
        <v>0</v>
      </c>
      <c r="N40" s="35"/>
      <c r="O40" s="34"/>
      <c r="P40" s="34"/>
      <c r="Q40" s="34"/>
      <c r="R40" s="203"/>
      <c r="S40" s="223"/>
    </row>
    <row r="41" spans="1:19" ht="12.75">
      <c r="A41" s="223"/>
      <c r="B41" s="5"/>
      <c r="C41" s="5"/>
      <c r="D41" s="5"/>
      <c r="E41" s="74" t="s">
        <v>104</v>
      </c>
      <c r="F41" s="74"/>
      <c r="G41" s="63">
        <f>IF(G39&gt;G40,G40,G39)</f>
        <v>0</v>
      </c>
      <c r="H41" s="63"/>
      <c r="I41" s="63">
        <f>IF(I39&gt;I40,I40,I39)</f>
        <v>0</v>
      </c>
      <c r="J41" s="63"/>
      <c r="K41" s="63">
        <f>IF(K39&gt;K40,K40,K39)</f>
        <v>0</v>
      </c>
      <c r="L41" s="63"/>
      <c r="M41" s="63">
        <f>IF(M39&gt;M40,M40,M39)</f>
        <v>0</v>
      </c>
      <c r="N41" s="35"/>
      <c r="O41" s="34"/>
      <c r="P41" s="34"/>
      <c r="Q41" s="34"/>
      <c r="R41" s="203"/>
      <c r="S41" s="223"/>
    </row>
    <row r="42" spans="1:19" ht="12.75">
      <c r="A42" s="223"/>
      <c r="B42" s="223"/>
      <c r="C42" s="223"/>
      <c r="D42" s="223"/>
      <c r="E42" s="223"/>
      <c r="F42" s="223"/>
      <c r="G42" s="223"/>
      <c r="H42" s="223"/>
      <c r="I42" s="223"/>
      <c r="J42" s="223"/>
      <c r="K42" s="223"/>
      <c r="L42" s="223"/>
      <c r="M42" s="223"/>
      <c r="N42" s="35"/>
      <c r="O42" s="34"/>
      <c r="P42" s="34"/>
      <c r="Q42" s="34"/>
      <c r="R42" s="203"/>
      <c r="S42" s="223"/>
    </row>
    <row r="43" spans="1:19" ht="12.75">
      <c r="A43" s="333" t="s">
        <v>6</v>
      </c>
      <c r="B43" s="25" t="s">
        <v>106</v>
      </c>
      <c r="C43" s="5"/>
      <c r="D43" s="5"/>
      <c r="E43" s="5"/>
      <c r="F43" s="5"/>
      <c r="G43" s="5"/>
      <c r="H43" s="5"/>
      <c r="I43" s="5"/>
      <c r="J43" s="5"/>
      <c r="K43" s="5"/>
      <c r="L43" s="5"/>
      <c r="M43" s="5"/>
      <c r="N43" s="35"/>
      <c r="O43" s="34"/>
      <c r="P43" s="34"/>
      <c r="Q43" s="34"/>
      <c r="R43" s="203"/>
      <c r="S43" s="223"/>
    </row>
    <row r="44" spans="1:19" ht="12.75">
      <c r="A44" s="333"/>
      <c r="B44" s="25"/>
      <c r="C44" s="5"/>
      <c r="D44" s="5"/>
      <c r="E44" s="5"/>
      <c r="F44" s="5"/>
      <c r="G44" s="5"/>
      <c r="H44" s="5"/>
      <c r="I44" s="5"/>
      <c r="J44" s="5"/>
      <c r="K44" s="5"/>
      <c r="L44" s="5"/>
      <c r="M44" s="5"/>
      <c r="N44" s="35"/>
      <c r="O44" s="34"/>
      <c r="P44" s="34"/>
      <c r="Q44" s="34"/>
      <c r="R44" s="203"/>
      <c r="S44" s="223"/>
    </row>
    <row r="45" spans="1:19" ht="12.75">
      <c r="A45" s="333"/>
      <c r="B45" s="46">
        <f>IF(COUNT(Daten!C14:K14)&lt;2,1,COUNT(Daten!C14:K14))</f>
        <v>1</v>
      </c>
      <c r="C45" s="36" t="s">
        <v>268</v>
      </c>
      <c r="D45" s="36"/>
      <c r="E45" s="36"/>
      <c r="F45" s="5"/>
      <c r="G45" s="5"/>
      <c r="H45" s="5"/>
      <c r="I45" s="5"/>
      <c r="J45" s="5"/>
      <c r="K45" s="5"/>
      <c r="L45" s="5"/>
      <c r="M45" s="5"/>
      <c r="N45" s="35"/>
      <c r="O45" s="34"/>
      <c r="P45" s="34"/>
      <c r="Q45" s="34"/>
      <c r="R45" s="203"/>
      <c r="S45" s="223"/>
    </row>
    <row r="46" spans="1:19" ht="12.75">
      <c r="A46" s="319" t="s">
        <v>269</v>
      </c>
      <c r="B46" s="206">
        <v>0</v>
      </c>
      <c r="C46" s="36" t="s">
        <v>404</v>
      </c>
      <c r="D46" s="5"/>
      <c r="E46" s="5"/>
      <c r="F46" s="36"/>
      <c r="G46" s="36"/>
      <c r="H46" s="5"/>
      <c r="I46" s="5"/>
      <c r="J46" s="5"/>
      <c r="K46" s="5"/>
      <c r="L46" s="5"/>
      <c r="M46" s="5"/>
      <c r="N46" s="35"/>
      <c r="O46" s="34"/>
      <c r="P46" s="34"/>
      <c r="Q46" s="34"/>
      <c r="R46" s="203"/>
      <c r="S46" s="223"/>
    </row>
    <row r="47" spans="1:19" ht="12.75">
      <c r="A47" s="492" t="s">
        <v>113</v>
      </c>
      <c r="B47" s="83">
        <f>B45+B46</f>
        <v>1</v>
      </c>
      <c r="C47" s="66" t="s">
        <v>286</v>
      </c>
      <c r="D47" s="73"/>
      <c r="E47" s="8"/>
      <c r="F47" s="207">
        <f>IF(B47&gt;15,"maximale Personenanzahl überschritten!","")</f>
      </c>
      <c r="G47" s="8"/>
      <c r="H47" s="5"/>
      <c r="I47" s="5"/>
      <c r="J47" s="5"/>
      <c r="K47" s="5"/>
      <c r="L47" s="5"/>
      <c r="M47" s="5"/>
      <c r="N47" s="35"/>
      <c r="O47" s="34"/>
      <c r="P47" s="34"/>
      <c r="Q47" s="34"/>
      <c r="R47" s="203"/>
      <c r="S47" s="223"/>
    </row>
    <row r="48" spans="1:19" ht="12.75">
      <c r="A48" s="333"/>
      <c r="B48" s="25"/>
      <c r="C48" s="5"/>
      <c r="D48" s="5"/>
      <c r="E48" s="5"/>
      <c r="F48" s="5"/>
      <c r="G48" s="5"/>
      <c r="H48" s="153"/>
      <c r="I48" s="5"/>
      <c r="J48" s="5"/>
      <c r="K48" s="5"/>
      <c r="L48" s="5"/>
      <c r="M48" s="5"/>
      <c r="N48" s="35"/>
      <c r="O48" s="34"/>
      <c r="P48" s="34"/>
      <c r="Q48" s="34"/>
      <c r="R48" s="203"/>
      <c r="S48" s="223"/>
    </row>
    <row r="49" spans="1:19" ht="12.75">
      <c r="A49" s="228"/>
      <c r="B49" s="156" t="s">
        <v>257</v>
      </c>
      <c r="C49" s="117"/>
      <c r="D49" s="188"/>
      <c r="E49" s="10" t="s">
        <v>105</v>
      </c>
      <c r="F49" s="5"/>
      <c r="G49" s="5"/>
      <c r="H49" s="5"/>
      <c r="I49" s="5"/>
      <c r="J49" s="5"/>
      <c r="K49" s="5"/>
      <c r="L49" s="10"/>
      <c r="M49" s="5"/>
      <c r="N49" s="109"/>
      <c r="O49" s="34"/>
      <c r="P49" s="34"/>
      <c r="Q49" s="34"/>
      <c r="R49" s="203"/>
      <c r="S49" s="223"/>
    </row>
    <row r="50" spans="1:19" ht="12.75">
      <c r="A50" s="228"/>
      <c r="B50" s="81" t="s">
        <v>15</v>
      </c>
      <c r="C50" s="79"/>
      <c r="D50" s="199">
        <f>IF(B47&gt;15,0,VLOOKUP(B47,Konfig!B42:C58,2,FALSE))</f>
        <v>50</v>
      </c>
      <c r="E50" s="10" t="s">
        <v>105</v>
      </c>
      <c r="F50" s="66" t="s">
        <v>189</v>
      </c>
      <c r="G50" s="5"/>
      <c r="H50" s="5"/>
      <c r="I50" s="5"/>
      <c r="J50" s="5"/>
      <c r="K50" s="5"/>
      <c r="L50" s="42"/>
      <c r="M50" s="42"/>
      <c r="N50" s="109"/>
      <c r="O50" s="34"/>
      <c r="P50" s="176" t="s">
        <v>188</v>
      </c>
      <c r="Q50" s="176"/>
      <c r="R50" s="203"/>
      <c r="S50" s="223"/>
    </row>
    <row r="51" spans="1:19" ht="12.75">
      <c r="A51" s="228"/>
      <c r="B51" s="196"/>
      <c r="C51" s="10"/>
      <c r="D51" s="46"/>
      <c r="E51" s="10"/>
      <c r="F51" s="83"/>
      <c r="G51" s="36"/>
      <c r="H51" s="5"/>
      <c r="I51" s="5"/>
      <c r="J51" s="36"/>
      <c r="K51" s="36"/>
      <c r="L51" s="42"/>
      <c r="M51" s="42"/>
      <c r="N51" s="109"/>
      <c r="O51" s="34"/>
      <c r="P51" s="179" t="s">
        <v>179</v>
      </c>
      <c r="Q51" s="176"/>
      <c r="R51" s="203"/>
      <c r="S51" s="223"/>
    </row>
    <row r="52" spans="1:19" ht="12.75">
      <c r="A52" s="228"/>
      <c r="B52" s="156" t="s">
        <v>281</v>
      </c>
      <c r="C52" s="117"/>
      <c r="D52" s="117"/>
      <c r="E52" s="117"/>
      <c r="F52" s="117"/>
      <c r="G52" s="117"/>
      <c r="H52" s="158"/>
      <c r="I52" s="217"/>
      <c r="J52" s="8"/>
      <c r="K52" s="5"/>
      <c r="L52" s="11"/>
      <c r="M52" s="5"/>
      <c r="N52" s="109"/>
      <c r="O52" s="34"/>
      <c r="P52" s="179" t="s">
        <v>180</v>
      </c>
      <c r="Q52" s="179"/>
      <c r="R52" s="203"/>
      <c r="S52" s="223"/>
    </row>
    <row r="53" spans="1:19" ht="12.75">
      <c r="A53" s="228"/>
      <c r="B53" s="5"/>
      <c r="C53" s="79"/>
      <c r="D53" s="79"/>
      <c r="E53" s="79"/>
      <c r="F53" s="79"/>
      <c r="G53" s="79"/>
      <c r="H53" s="198" t="s">
        <v>274</v>
      </c>
      <c r="I53" s="218">
        <f>IF(B47&gt;15,0,VLOOKUP(B47,Konfig!E42:K58,Q57+1,FALSE))</f>
        <v>300</v>
      </c>
      <c r="J53" s="5"/>
      <c r="K53" s="5"/>
      <c r="L53" s="5"/>
      <c r="M53" s="5"/>
      <c r="N53" s="181" t="s">
        <v>244</v>
      </c>
      <c r="O53" s="174"/>
      <c r="P53" s="179" t="s">
        <v>181</v>
      </c>
      <c r="Q53" s="176"/>
      <c r="R53" s="203"/>
      <c r="S53" s="223"/>
    </row>
    <row r="54" spans="1:19" ht="12.75">
      <c r="A54" s="228"/>
      <c r="B54" s="58"/>
      <c r="C54" s="10" t="s">
        <v>271</v>
      </c>
      <c r="D54" s="8"/>
      <c r="E54" s="8"/>
      <c r="F54" s="8"/>
      <c r="G54" s="8"/>
      <c r="H54" s="8"/>
      <c r="I54" s="219"/>
      <c r="J54" s="8"/>
      <c r="K54" s="8"/>
      <c r="L54" s="8"/>
      <c r="M54" s="8"/>
      <c r="N54" s="182" t="b">
        <v>0</v>
      </c>
      <c r="O54" s="174"/>
      <c r="P54" s="179" t="s">
        <v>182</v>
      </c>
      <c r="Q54" s="176"/>
      <c r="R54" s="203"/>
      <c r="S54" s="223"/>
    </row>
    <row r="55" spans="1:19" ht="12.75">
      <c r="A55" s="228"/>
      <c r="B55" s="8"/>
      <c r="C55" s="8"/>
      <c r="D55" s="8"/>
      <c r="E55" s="8"/>
      <c r="F55" s="8"/>
      <c r="G55" s="8"/>
      <c r="H55" s="143" t="s">
        <v>272</v>
      </c>
      <c r="I55" s="220">
        <f>IF(I52&lt;I53,I52,IF(N54,I53,I52))</f>
        <v>0</v>
      </c>
      <c r="J55" s="8"/>
      <c r="K55" s="8"/>
      <c r="L55" s="8"/>
      <c r="M55" s="8"/>
      <c r="N55" s="109"/>
      <c r="O55" s="34"/>
      <c r="P55" s="179" t="s">
        <v>183</v>
      </c>
      <c r="Q55" s="176"/>
      <c r="R55" s="203"/>
      <c r="S55" s="223"/>
    </row>
    <row r="56" spans="1:19" ht="12.75">
      <c r="A56" s="228"/>
      <c r="B56" s="8"/>
      <c r="C56" s="8"/>
      <c r="D56" s="8"/>
      <c r="E56" s="8"/>
      <c r="F56" s="8"/>
      <c r="G56" s="46"/>
      <c r="H56" s="143" t="s">
        <v>270</v>
      </c>
      <c r="I56" s="220">
        <f>I55/B47*B46</f>
        <v>0</v>
      </c>
      <c r="J56" s="8"/>
      <c r="K56" s="8"/>
      <c r="L56" s="8"/>
      <c r="M56" s="8"/>
      <c r="N56" s="109"/>
      <c r="O56" s="34"/>
      <c r="P56" s="179" t="s">
        <v>184</v>
      </c>
      <c r="Q56" s="176"/>
      <c r="R56" s="203"/>
      <c r="S56" s="223"/>
    </row>
    <row r="57" spans="1:19" ht="12.75">
      <c r="A57" s="228"/>
      <c r="B57" s="8"/>
      <c r="C57" s="8"/>
      <c r="D57" s="8"/>
      <c r="E57" s="8"/>
      <c r="F57" s="8"/>
      <c r="G57" s="46"/>
      <c r="H57" s="143" t="s">
        <v>273</v>
      </c>
      <c r="I57" s="221">
        <f>I55-I56</f>
        <v>0</v>
      </c>
      <c r="J57" s="8"/>
      <c r="K57" s="8"/>
      <c r="L57" s="8"/>
      <c r="M57" s="8"/>
      <c r="N57" s="109"/>
      <c r="O57" s="34"/>
      <c r="P57" s="176" t="s">
        <v>190</v>
      </c>
      <c r="Q57" s="178">
        <v>3</v>
      </c>
      <c r="R57" s="203"/>
      <c r="S57" s="223"/>
    </row>
    <row r="58" spans="1:19" ht="12.75">
      <c r="A58" s="228"/>
      <c r="B58" s="5"/>
      <c r="C58" s="8"/>
      <c r="D58" s="8"/>
      <c r="E58" s="8"/>
      <c r="F58" s="8"/>
      <c r="G58" s="46"/>
      <c r="H58" s="8"/>
      <c r="I58" s="221"/>
      <c r="J58" s="8"/>
      <c r="K58" s="8"/>
      <c r="L58" s="8"/>
      <c r="M58" s="8"/>
      <c r="N58" s="109"/>
      <c r="O58" s="34"/>
      <c r="P58" s="205"/>
      <c r="Q58" s="203"/>
      <c r="R58" s="203"/>
      <c r="S58" s="223"/>
    </row>
    <row r="59" spans="1:19" ht="12.75">
      <c r="A59" s="228"/>
      <c r="B59" s="156" t="s">
        <v>282</v>
      </c>
      <c r="C59" s="157"/>
      <c r="D59" s="117"/>
      <c r="E59" s="117"/>
      <c r="F59" s="200"/>
      <c r="G59" s="201"/>
      <c r="H59" s="201"/>
      <c r="I59" s="222"/>
      <c r="J59" s="12"/>
      <c r="K59" s="12"/>
      <c r="L59" s="75"/>
      <c r="M59" s="8"/>
      <c r="N59" s="109"/>
      <c r="O59" s="34"/>
      <c r="P59" s="23"/>
      <c r="Q59" s="23"/>
      <c r="R59" s="203"/>
      <c r="S59" s="223"/>
    </row>
    <row r="60" spans="1:19" ht="12.75">
      <c r="A60" s="228"/>
      <c r="B60" s="5"/>
      <c r="C60" s="196"/>
      <c r="D60" s="10"/>
      <c r="E60" s="8"/>
      <c r="F60" s="17"/>
      <c r="G60" s="8"/>
      <c r="H60" s="143" t="s">
        <v>280</v>
      </c>
      <c r="I60" s="220">
        <f>D50*Konfig!B62</f>
        <v>50</v>
      </c>
      <c r="J60" s="8"/>
      <c r="K60" s="8"/>
      <c r="L60" s="13"/>
      <c r="M60" s="8"/>
      <c r="N60" s="181" t="s">
        <v>244</v>
      </c>
      <c r="O60" s="174"/>
      <c r="P60" s="23"/>
      <c r="Q60" s="23"/>
      <c r="R60" s="203"/>
      <c r="S60" s="223"/>
    </row>
    <row r="61" spans="1:19" ht="12.75">
      <c r="A61" s="228"/>
      <c r="B61" s="58"/>
      <c r="C61" s="10" t="s">
        <v>278</v>
      </c>
      <c r="D61" s="8"/>
      <c r="E61" s="8"/>
      <c r="F61" s="8"/>
      <c r="G61" s="14"/>
      <c r="H61" s="14"/>
      <c r="I61" s="219"/>
      <c r="J61" s="15"/>
      <c r="K61" s="15"/>
      <c r="L61" s="16"/>
      <c r="M61" s="8"/>
      <c r="N61" s="182" t="b">
        <v>0</v>
      </c>
      <c r="O61" s="174"/>
      <c r="P61" s="34"/>
      <c r="Q61" s="34"/>
      <c r="R61" s="203"/>
      <c r="S61" s="223"/>
    </row>
    <row r="62" spans="1:19" ht="12.75">
      <c r="A62" s="228"/>
      <c r="B62" s="196"/>
      <c r="C62" s="10"/>
      <c r="D62" s="8"/>
      <c r="E62" s="8"/>
      <c r="F62" s="8"/>
      <c r="G62" s="14"/>
      <c r="H62" s="143" t="s">
        <v>275</v>
      </c>
      <c r="I62" s="220">
        <f>IF(I59&lt;I60,I59,IF(N61,I60,I59))</f>
        <v>0</v>
      </c>
      <c r="J62" s="15"/>
      <c r="K62" s="15"/>
      <c r="L62" s="16"/>
      <c r="M62" s="46"/>
      <c r="N62" s="202"/>
      <c r="O62" s="203"/>
      <c r="P62" s="34"/>
      <c r="Q62" s="34"/>
      <c r="R62" s="203"/>
      <c r="S62" s="223"/>
    </row>
    <row r="63" spans="1:19" ht="12.75">
      <c r="A63" s="228"/>
      <c r="B63" s="196"/>
      <c r="C63" s="10"/>
      <c r="D63" s="8"/>
      <c r="E63" s="8"/>
      <c r="F63" s="8"/>
      <c r="G63" s="14"/>
      <c r="H63" s="143" t="s">
        <v>276</v>
      </c>
      <c r="I63" s="220">
        <f>I62/B47*B46</f>
        <v>0</v>
      </c>
      <c r="J63" s="15"/>
      <c r="K63" s="15"/>
      <c r="L63" s="16"/>
      <c r="M63" s="46"/>
      <c r="N63" s="202"/>
      <c r="O63" s="203"/>
      <c r="P63" s="34"/>
      <c r="Q63" s="34"/>
      <c r="R63" s="203"/>
      <c r="S63" s="223"/>
    </row>
    <row r="64" spans="1:19" ht="12.75">
      <c r="A64" s="228"/>
      <c r="B64" s="196"/>
      <c r="C64" s="10"/>
      <c r="D64" s="8"/>
      <c r="E64" s="8"/>
      <c r="F64" s="8"/>
      <c r="G64" s="14"/>
      <c r="H64" s="143" t="s">
        <v>277</v>
      </c>
      <c r="I64" s="220">
        <f>I62-I63</f>
        <v>0</v>
      </c>
      <c r="J64" s="15"/>
      <c r="K64" s="15"/>
      <c r="L64" s="16"/>
      <c r="M64" s="46"/>
      <c r="N64" s="202"/>
      <c r="O64" s="203"/>
      <c r="P64" s="34"/>
      <c r="Q64" s="34"/>
      <c r="R64" s="203"/>
      <c r="S64" s="223"/>
    </row>
    <row r="65" spans="1:19" ht="12.75">
      <c r="A65" s="228"/>
      <c r="B65" s="196"/>
      <c r="C65" s="10"/>
      <c r="D65" s="8"/>
      <c r="E65" s="8"/>
      <c r="F65" s="8"/>
      <c r="G65" s="212" t="s">
        <v>362</v>
      </c>
      <c r="H65" s="211" t="s">
        <v>361</v>
      </c>
      <c r="I65" s="220">
        <f>IF(Q65,I64*Konfig!G61*-1,0)</f>
        <v>0</v>
      </c>
      <c r="J65" s="15"/>
      <c r="K65" s="15"/>
      <c r="L65" s="16"/>
      <c r="M65" s="46"/>
      <c r="N65" s="213" t="s">
        <v>363</v>
      </c>
      <c r="O65" s="174"/>
      <c r="P65" s="174"/>
      <c r="Q65" s="174" t="b">
        <v>0</v>
      </c>
      <c r="R65" s="203"/>
      <c r="S65" s="223"/>
    </row>
    <row r="66" spans="1:19" ht="12.75">
      <c r="A66" s="228"/>
      <c r="B66" s="196"/>
      <c r="C66" s="10"/>
      <c r="D66" s="8"/>
      <c r="E66" s="8"/>
      <c r="F66" s="8"/>
      <c r="G66" s="212"/>
      <c r="H66" s="143" t="s">
        <v>366</v>
      </c>
      <c r="I66" s="221">
        <f>I64+I65</f>
        <v>0</v>
      </c>
      <c r="J66" s="15"/>
      <c r="K66" s="15"/>
      <c r="L66" s="16"/>
      <c r="M66" s="46" t="s">
        <v>223</v>
      </c>
      <c r="N66" s="213"/>
      <c r="O66" s="174"/>
      <c r="P66" s="174"/>
      <c r="Q66" s="174"/>
      <c r="R66" s="203"/>
      <c r="S66" s="223"/>
    </row>
    <row r="67" spans="1:19" ht="12.75">
      <c r="A67" s="223"/>
      <c r="B67" s="5"/>
      <c r="C67" s="5"/>
      <c r="D67" s="5"/>
      <c r="E67" s="5"/>
      <c r="F67" s="5"/>
      <c r="G67" s="5"/>
      <c r="H67" s="74"/>
      <c r="I67" s="5"/>
      <c r="J67" s="204" t="s">
        <v>279</v>
      </c>
      <c r="K67" s="197">
        <f>I57+I66</f>
        <v>0</v>
      </c>
      <c r="L67" s="8"/>
      <c r="M67" s="193">
        <f>K67/B45</f>
        <v>0</v>
      </c>
      <c r="N67" s="35"/>
      <c r="O67" s="34"/>
      <c r="P67" s="34"/>
      <c r="Q67" s="34"/>
      <c r="R67" s="203"/>
      <c r="S67" s="223"/>
    </row>
    <row r="68" spans="1:19" ht="12.75">
      <c r="A68" s="223"/>
      <c r="B68" s="223"/>
      <c r="C68" s="223"/>
      <c r="D68" s="223"/>
      <c r="E68" s="312"/>
      <c r="F68" s="312"/>
      <c r="G68" s="313"/>
      <c r="H68" s="313"/>
      <c r="I68" s="223"/>
      <c r="J68" s="223"/>
      <c r="K68" s="223"/>
      <c r="L68" s="314"/>
      <c r="M68" s="315"/>
      <c r="N68" s="110"/>
      <c r="O68" s="34"/>
      <c r="P68" s="34"/>
      <c r="Q68" s="34"/>
      <c r="R68" s="203"/>
      <c r="S68" s="223"/>
    </row>
    <row r="69" spans="1:19" ht="12.75">
      <c r="A69" s="333" t="s">
        <v>9</v>
      </c>
      <c r="B69" s="25" t="s">
        <v>152</v>
      </c>
      <c r="C69" s="5"/>
      <c r="D69" s="5"/>
      <c r="E69" s="74"/>
      <c r="F69" s="74"/>
      <c r="G69" s="44"/>
      <c r="H69" s="44"/>
      <c r="I69" s="5"/>
      <c r="J69" s="5"/>
      <c r="K69" s="5"/>
      <c r="L69" s="73"/>
      <c r="M69" s="76"/>
      <c r="N69" s="110"/>
      <c r="O69" s="34"/>
      <c r="P69" s="34"/>
      <c r="Q69" s="34"/>
      <c r="R69" s="203"/>
      <c r="S69" s="223"/>
    </row>
    <row r="70" spans="1:19" ht="12.75">
      <c r="A70" s="223"/>
      <c r="B70" s="5"/>
      <c r="C70" s="5"/>
      <c r="D70" s="5"/>
      <c r="E70" s="74"/>
      <c r="F70" s="8"/>
      <c r="G70" s="46"/>
      <c r="H70" s="46"/>
      <c r="I70" s="46"/>
      <c r="J70" s="46"/>
      <c r="K70" s="46"/>
      <c r="L70" s="46"/>
      <c r="M70" s="46"/>
      <c r="N70" s="110"/>
      <c r="O70" s="34"/>
      <c r="P70" s="34"/>
      <c r="Q70" s="34"/>
      <c r="R70" s="203"/>
      <c r="S70" s="223"/>
    </row>
    <row r="71" spans="1:19" ht="12.75">
      <c r="A71" s="223"/>
      <c r="B71" s="113" t="s">
        <v>163</v>
      </c>
      <c r="C71" s="8"/>
      <c r="D71" s="8"/>
      <c r="E71" s="114"/>
      <c r="F71" s="112"/>
      <c r="G71" s="132">
        <f>IF(Daten!C16,"",Daten!C13)</f>
      </c>
      <c r="H71" s="132"/>
      <c r="I71" s="132">
        <f>IF(Daten!D16,"",Daten!D13)</f>
      </c>
      <c r="J71" s="132"/>
      <c r="K71" s="132">
        <f>IF(Daten!E16,"",Daten!E13)</f>
      </c>
      <c r="L71" s="132"/>
      <c r="M71" s="132">
        <f>IF(Daten!F16,"",Daten!F13)</f>
      </c>
      <c r="N71" s="110"/>
      <c r="O71" s="34"/>
      <c r="P71" s="34"/>
      <c r="Q71" s="34"/>
      <c r="R71" s="203"/>
      <c r="S71" s="223"/>
    </row>
    <row r="72" spans="1:19" ht="12.75">
      <c r="A72" s="223"/>
      <c r="B72" s="116" t="s">
        <v>153</v>
      </c>
      <c r="C72" s="117"/>
      <c r="D72" s="117"/>
      <c r="E72" s="118"/>
      <c r="F72" s="144"/>
      <c r="G72" s="18"/>
      <c r="H72" s="141"/>
      <c r="I72" s="18"/>
      <c r="J72" s="141"/>
      <c r="K72" s="18"/>
      <c r="L72" s="141"/>
      <c r="M72" s="18"/>
      <c r="N72" s="110"/>
      <c r="O72" s="34"/>
      <c r="P72" s="34"/>
      <c r="Q72" s="34"/>
      <c r="R72" s="203"/>
      <c r="S72" s="223"/>
    </row>
    <row r="73" spans="1:19" ht="12.75">
      <c r="A73" s="223"/>
      <c r="B73" s="116" t="s">
        <v>154</v>
      </c>
      <c r="C73" s="117"/>
      <c r="D73" s="117"/>
      <c r="E73" s="118"/>
      <c r="F73" s="144"/>
      <c r="G73" s="18"/>
      <c r="H73" s="141"/>
      <c r="I73" s="18"/>
      <c r="J73" s="141"/>
      <c r="K73" s="18"/>
      <c r="L73" s="141"/>
      <c r="M73" s="18"/>
      <c r="N73" s="110"/>
      <c r="O73" s="34"/>
      <c r="P73" s="34"/>
      <c r="Q73" s="34"/>
      <c r="R73" s="203"/>
      <c r="S73" s="223"/>
    </row>
    <row r="74" spans="1:19" ht="12.75">
      <c r="A74" s="223"/>
      <c r="B74" s="116" t="s">
        <v>156</v>
      </c>
      <c r="C74" s="117"/>
      <c r="D74" s="117"/>
      <c r="E74" s="118"/>
      <c r="F74" s="144"/>
      <c r="G74" s="18"/>
      <c r="H74" s="141"/>
      <c r="I74" s="18"/>
      <c r="J74" s="141"/>
      <c r="K74" s="18"/>
      <c r="L74" s="141"/>
      <c r="M74" s="18"/>
      <c r="N74" s="110"/>
      <c r="O74" s="34"/>
      <c r="P74" s="34"/>
      <c r="Q74" s="34"/>
      <c r="R74" s="203"/>
      <c r="S74" s="223"/>
    </row>
    <row r="75" spans="1:19" ht="12.75">
      <c r="A75" s="223"/>
      <c r="B75" s="116" t="s">
        <v>155</v>
      </c>
      <c r="C75" s="117"/>
      <c r="D75" s="117"/>
      <c r="E75" s="118"/>
      <c r="F75" s="144"/>
      <c r="G75" s="18"/>
      <c r="H75" s="141"/>
      <c r="I75" s="18"/>
      <c r="J75" s="141"/>
      <c r="K75" s="18"/>
      <c r="L75" s="141"/>
      <c r="M75" s="18"/>
      <c r="N75" s="110"/>
      <c r="O75" s="34"/>
      <c r="P75" s="34"/>
      <c r="Q75" s="34"/>
      <c r="R75" s="203"/>
      <c r="S75" s="223"/>
    </row>
    <row r="76" spans="1:19" ht="12.75">
      <c r="A76" s="223"/>
      <c r="B76" s="5"/>
      <c r="C76" s="5"/>
      <c r="D76" s="5"/>
      <c r="E76" s="74"/>
      <c r="F76" s="28" t="s">
        <v>23</v>
      </c>
      <c r="G76" s="125">
        <f>SUM(G72:G75)</f>
        <v>0</v>
      </c>
      <c r="H76" s="125"/>
      <c r="I76" s="125">
        <f>SUM(I72:I75)</f>
        <v>0</v>
      </c>
      <c r="J76" s="125"/>
      <c r="K76" s="125">
        <f>SUM(K72:K75)</f>
        <v>0</v>
      </c>
      <c r="L76" s="125"/>
      <c r="M76" s="125">
        <f>SUM(M72:M75)</f>
        <v>0</v>
      </c>
      <c r="N76" s="110"/>
      <c r="O76" s="34"/>
      <c r="P76" s="34"/>
      <c r="Q76" s="34"/>
      <c r="R76" s="203"/>
      <c r="S76" s="223"/>
    </row>
    <row r="77" spans="1:19" ht="12.75">
      <c r="A77" s="223"/>
      <c r="B77" s="223"/>
      <c r="C77" s="223"/>
      <c r="D77" s="223"/>
      <c r="E77" s="223"/>
      <c r="F77" s="223"/>
      <c r="G77" s="223"/>
      <c r="H77" s="223"/>
      <c r="I77" s="223"/>
      <c r="J77" s="223"/>
      <c r="K77" s="223"/>
      <c r="L77" s="223"/>
      <c r="M77" s="223"/>
      <c r="N77" s="35"/>
      <c r="O77" s="34"/>
      <c r="P77" s="34"/>
      <c r="Q77" s="34"/>
      <c r="R77" s="203"/>
      <c r="S77" s="223"/>
    </row>
    <row r="78" spans="1:19" ht="12.75">
      <c r="A78" s="333" t="s">
        <v>35</v>
      </c>
      <c r="B78" s="25" t="s">
        <v>22</v>
      </c>
      <c r="C78" s="5"/>
      <c r="D78" s="5"/>
      <c r="E78" s="5"/>
      <c r="F78" s="5"/>
      <c r="G78" s="5"/>
      <c r="H78" s="5"/>
      <c r="I78" s="5"/>
      <c r="J78" s="5"/>
      <c r="K78" s="5"/>
      <c r="L78" s="5"/>
      <c r="M78" s="5"/>
      <c r="N78" s="35"/>
      <c r="O78" s="34"/>
      <c r="P78" s="34"/>
      <c r="Q78" s="34"/>
      <c r="R78" s="203"/>
      <c r="S78" s="223"/>
    </row>
    <row r="79" spans="1:19" ht="12.75">
      <c r="A79" s="223"/>
      <c r="B79" s="5"/>
      <c r="C79" s="5"/>
      <c r="D79" s="5"/>
      <c r="E79" s="5"/>
      <c r="F79" s="5"/>
      <c r="G79" s="5"/>
      <c r="H79" s="5"/>
      <c r="I79" s="5"/>
      <c r="J79" s="5"/>
      <c r="K79" s="5"/>
      <c r="L79" s="5"/>
      <c r="M79" s="5"/>
      <c r="N79" s="35"/>
      <c r="O79" s="34"/>
      <c r="P79" s="34"/>
      <c r="Q79" s="34"/>
      <c r="R79" s="203"/>
      <c r="S79" s="223"/>
    </row>
    <row r="80" spans="1:19" ht="12.75">
      <c r="A80" s="223"/>
      <c r="B80" s="159" t="s">
        <v>306</v>
      </c>
      <c r="C80" s="117"/>
      <c r="D80" s="117"/>
      <c r="E80" s="117"/>
      <c r="F80" s="117"/>
      <c r="G80" s="160"/>
      <c r="H80" s="41"/>
      <c r="I80" s="5"/>
      <c r="J80" s="5"/>
      <c r="K80" s="5"/>
      <c r="L80" s="5"/>
      <c r="M80" s="5"/>
      <c r="N80" s="35"/>
      <c r="O80" s="34"/>
      <c r="P80" s="34"/>
      <c r="Q80" s="34"/>
      <c r="R80" s="203"/>
      <c r="S80" s="223"/>
    </row>
    <row r="81" spans="1:19" ht="12.75">
      <c r="A81" s="223"/>
      <c r="B81" s="159" t="s">
        <v>24</v>
      </c>
      <c r="C81" s="117"/>
      <c r="D81" s="117"/>
      <c r="E81" s="117"/>
      <c r="F81" s="117"/>
      <c r="G81" s="160"/>
      <c r="H81" s="41"/>
      <c r="I81" s="5"/>
      <c r="J81" s="5"/>
      <c r="K81" s="5"/>
      <c r="L81" s="5"/>
      <c r="M81" s="5"/>
      <c r="N81" s="35"/>
      <c r="O81" s="34"/>
      <c r="P81" s="34"/>
      <c r="Q81" s="34"/>
      <c r="R81" s="203"/>
      <c r="S81" s="223"/>
    </row>
    <row r="82" spans="1:19" ht="12.75">
      <c r="A82" s="223"/>
      <c r="B82" s="5"/>
      <c r="C82" s="5"/>
      <c r="D82" s="5"/>
      <c r="E82" s="5"/>
      <c r="F82" s="28" t="s">
        <v>23</v>
      </c>
      <c r="G82" s="41">
        <f>G80+G81</f>
        <v>0</v>
      </c>
      <c r="H82" s="41"/>
      <c r="I82" s="41">
        <f>G82</f>
        <v>0</v>
      </c>
      <c r="J82" s="5"/>
      <c r="K82" s="5"/>
      <c r="L82" s="41"/>
      <c r="M82" s="5"/>
      <c r="N82" s="35"/>
      <c r="O82" s="34"/>
      <c r="P82" s="34"/>
      <c r="Q82" s="34"/>
      <c r="R82" s="203"/>
      <c r="S82" s="223"/>
    </row>
    <row r="83" spans="1:19" ht="12.75">
      <c r="A83" s="223"/>
      <c r="B83" s="5"/>
      <c r="C83" s="5"/>
      <c r="D83" s="5"/>
      <c r="E83" s="5"/>
      <c r="F83" s="5"/>
      <c r="G83" s="5"/>
      <c r="H83" s="5"/>
      <c r="I83" s="41"/>
      <c r="J83" s="41"/>
      <c r="K83" s="5"/>
      <c r="L83" s="5"/>
      <c r="M83" s="5"/>
      <c r="N83" s="35"/>
      <c r="O83" s="34"/>
      <c r="P83" s="34"/>
      <c r="Q83" s="34"/>
      <c r="R83" s="203"/>
      <c r="S83" s="223"/>
    </row>
    <row r="84" spans="1:19" ht="12.75">
      <c r="A84" s="223"/>
      <c r="B84" s="5" t="s">
        <v>25</v>
      </c>
      <c r="C84" s="5"/>
      <c r="D84" s="5"/>
      <c r="E84" s="5"/>
      <c r="F84" s="5"/>
      <c r="G84" s="41">
        <f>IF(Anspruch!D9+Anspruch!D10+Anspruch!D11-Anspruch!D25-Anspruch!D26&lt;=0,0,Anspruch!D9+Anspruch!D10+Anspruch!D11-Anspruch!D25-Anspruch!D26)</f>
        <v>0</v>
      </c>
      <c r="H84" s="41"/>
      <c r="I84" s="5"/>
      <c r="J84" s="5"/>
      <c r="K84" s="5"/>
      <c r="L84" s="5"/>
      <c r="M84" s="5"/>
      <c r="N84" s="35"/>
      <c r="O84" s="34"/>
      <c r="P84" s="34"/>
      <c r="Q84" s="34"/>
      <c r="R84" s="203"/>
      <c r="S84" s="223"/>
    </row>
    <row r="85" spans="1:19" ht="12.75">
      <c r="A85" s="223"/>
      <c r="B85" s="5" t="s">
        <v>423</v>
      </c>
      <c r="C85" s="5"/>
      <c r="D85" s="5"/>
      <c r="E85" s="5"/>
      <c r="F85" s="5"/>
      <c r="G85" s="41">
        <f>IF(SUM(Anspruch!E13:L13)-SUM(Anspruch!E25:L25)-SUM(Anspruch!E26:L26)&lt;=0,0,SUM(Anspruch!E13:L13)-SUM(Anspruch!E25:L25)-SUM(Anspruch!E26:L26))</f>
        <v>0</v>
      </c>
      <c r="H85" s="41"/>
      <c r="I85" s="5"/>
      <c r="J85" s="5"/>
      <c r="K85" s="5"/>
      <c r="L85" s="5"/>
      <c r="M85" s="5"/>
      <c r="N85" s="35"/>
      <c r="O85" s="34"/>
      <c r="P85" s="34"/>
      <c r="Q85" s="34"/>
      <c r="R85" s="203"/>
      <c r="S85" s="223"/>
    </row>
    <row r="86" spans="1:19" ht="12.75">
      <c r="A86" s="223"/>
      <c r="B86" s="5"/>
      <c r="C86" s="5"/>
      <c r="D86" s="5"/>
      <c r="E86" s="5"/>
      <c r="F86" s="28" t="s">
        <v>23</v>
      </c>
      <c r="G86" s="41">
        <f>G84+G85</f>
        <v>0</v>
      </c>
      <c r="H86" s="41"/>
      <c r="I86" s="41">
        <f>G86</f>
        <v>0</v>
      </c>
      <c r="J86" s="5"/>
      <c r="K86" s="5"/>
      <c r="L86" s="41"/>
      <c r="M86" s="5"/>
      <c r="N86" s="35"/>
      <c r="O86" s="34"/>
      <c r="P86" s="34"/>
      <c r="Q86" s="34"/>
      <c r="R86" s="203"/>
      <c r="S86" s="223"/>
    </row>
    <row r="87" spans="1:19" ht="12.75">
      <c r="A87" s="223"/>
      <c r="B87" s="5"/>
      <c r="C87" s="5"/>
      <c r="D87" s="5"/>
      <c r="E87" s="5"/>
      <c r="F87" s="5"/>
      <c r="G87" s="5"/>
      <c r="H87" s="5"/>
      <c r="I87" s="41"/>
      <c r="J87" s="41"/>
      <c r="K87" s="5"/>
      <c r="L87" s="5"/>
      <c r="M87" s="5"/>
      <c r="N87" s="35"/>
      <c r="O87" s="34"/>
      <c r="P87" s="34"/>
      <c r="Q87" s="34"/>
      <c r="R87" s="203"/>
      <c r="S87" s="223"/>
    </row>
    <row r="88" spans="1:19" ht="12.75">
      <c r="A88" s="223"/>
      <c r="B88" s="5"/>
      <c r="C88" s="5"/>
      <c r="D88" s="5"/>
      <c r="E88" s="5"/>
      <c r="F88" s="5"/>
      <c r="G88" s="5"/>
      <c r="H88" s="77" t="s">
        <v>26</v>
      </c>
      <c r="I88" s="41">
        <f>IF(I82-I86&gt;0,I82-I86,0)</f>
        <v>0</v>
      </c>
      <c r="J88" s="77"/>
      <c r="K88" s="5"/>
      <c r="L88" s="41"/>
      <c r="M88" s="5"/>
      <c r="N88" s="35"/>
      <c r="O88" s="34"/>
      <c r="P88" s="34"/>
      <c r="Q88" s="34"/>
      <c r="R88" s="203"/>
      <c r="S88" s="223"/>
    </row>
    <row r="89" spans="1:19" ht="12.75">
      <c r="A89" s="223"/>
      <c r="B89" s="5"/>
      <c r="C89" s="5"/>
      <c r="D89" s="5"/>
      <c r="E89" s="5"/>
      <c r="F89" s="5"/>
      <c r="G89" s="5"/>
      <c r="H89" s="5"/>
      <c r="I89" s="5"/>
      <c r="J89" s="5"/>
      <c r="K89" s="5"/>
      <c r="L89" s="5"/>
      <c r="M89" s="5"/>
      <c r="N89" s="35"/>
      <c r="O89" s="34"/>
      <c r="P89" s="34"/>
      <c r="Q89" s="34"/>
      <c r="R89" s="203"/>
      <c r="S89" s="223"/>
    </row>
    <row r="90" spans="1:19" ht="12.75">
      <c r="A90" s="223"/>
      <c r="B90" s="29" t="s">
        <v>27</v>
      </c>
      <c r="C90" s="5"/>
      <c r="D90" s="5"/>
      <c r="E90" s="5"/>
      <c r="F90" s="5"/>
      <c r="G90" s="5"/>
      <c r="H90" s="5"/>
      <c r="I90" s="5"/>
      <c r="J90" s="5"/>
      <c r="K90" s="5"/>
      <c r="L90" s="5"/>
      <c r="M90" s="5"/>
      <c r="N90" s="35"/>
      <c r="O90" s="34"/>
      <c r="P90" s="34"/>
      <c r="Q90" s="34"/>
      <c r="R90" s="203"/>
      <c r="S90" s="223"/>
    </row>
    <row r="91" spans="1:19" ht="12.75">
      <c r="A91" s="223"/>
      <c r="B91" s="61"/>
      <c r="C91" s="5" t="s">
        <v>32</v>
      </c>
      <c r="D91" s="5"/>
      <c r="E91" s="5"/>
      <c r="F91" s="5"/>
      <c r="G91" s="5"/>
      <c r="H91" s="5"/>
      <c r="I91" s="5"/>
      <c r="J91" s="5"/>
      <c r="K91" s="5"/>
      <c r="L91" s="5"/>
      <c r="M91" s="5"/>
      <c r="N91" s="177" t="b">
        <v>1</v>
      </c>
      <c r="O91" s="174" t="s">
        <v>245</v>
      </c>
      <c r="P91" s="174"/>
      <c r="Q91" s="34"/>
      <c r="R91" s="203"/>
      <c r="S91" s="223"/>
    </row>
    <row r="92" spans="1:19" ht="12.75">
      <c r="A92" s="223"/>
      <c r="B92" s="5"/>
      <c r="C92" s="277" t="s">
        <v>465</v>
      </c>
      <c r="D92" s="5"/>
      <c r="E92" s="5"/>
      <c r="F92" s="5"/>
      <c r="G92" s="5"/>
      <c r="H92" s="5"/>
      <c r="I92" s="41">
        <f>IF(I88/3*2&gt;G97,G97,ROUND(I88/3*2,0))</f>
        <v>0</v>
      </c>
      <c r="J92" s="5"/>
      <c r="K92" s="5"/>
      <c r="L92" s="41"/>
      <c r="M92" s="5"/>
      <c r="N92" s="35"/>
      <c r="O92" s="34"/>
      <c r="P92" s="34"/>
      <c r="Q92" s="34"/>
      <c r="R92" s="203"/>
      <c r="S92" s="223"/>
    </row>
    <row r="93" spans="1:19" ht="12.75">
      <c r="A93" s="223"/>
      <c r="B93" s="5"/>
      <c r="C93" s="78" t="s">
        <v>28</v>
      </c>
      <c r="D93" s="79"/>
      <c r="E93" s="80"/>
      <c r="F93" s="81"/>
      <c r="G93" s="82"/>
      <c r="H93" s="83"/>
      <c r="I93" s="5"/>
      <c r="J93" s="5"/>
      <c r="K93" s="5"/>
      <c r="L93" s="5"/>
      <c r="M93" s="5"/>
      <c r="N93" s="35"/>
      <c r="O93" s="34"/>
      <c r="P93" s="34"/>
      <c r="Q93" s="34"/>
      <c r="R93" s="203"/>
      <c r="S93" s="223"/>
    </row>
    <row r="94" spans="1:19" ht="12.75">
      <c r="A94" s="223"/>
      <c r="B94" s="5"/>
      <c r="C94" s="84" t="s">
        <v>29</v>
      </c>
      <c r="D94" s="10"/>
      <c r="E94" s="8"/>
      <c r="F94" s="46"/>
      <c r="G94" s="85"/>
      <c r="H94" s="83"/>
      <c r="I94" s="5"/>
      <c r="J94" s="86"/>
      <c r="K94" s="5"/>
      <c r="L94" s="5"/>
      <c r="M94" s="5"/>
      <c r="N94" s="35"/>
      <c r="O94" s="34"/>
      <c r="P94" s="34"/>
      <c r="Q94" s="34"/>
      <c r="R94" s="203"/>
      <c r="S94" s="223"/>
    </row>
    <row r="95" spans="1:19" ht="12.75">
      <c r="A95" s="223"/>
      <c r="B95" s="5"/>
      <c r="C95" s="84" t="s">
        <v>108</v>
      </c>
      <c r="D95" s="10"/>
      <c r="E95" s="8"/>
      <c r="F95" s="46"/>
      <c r="G95" s="85">
        <f>IF(N6,320,160)</f>
        <v>160</v>
      </c>
      <c r="H95" s="83"/>
      <c r="I95" s="5"/>
      <c r="J95" s="86"/>
      <c r="K95" s="5"/>
      <c r="L95" s="5"/>
      <c r="M95" s="5"/>
      <c r="N95" s="35"/>
      <c r="O95" s="34"/>
      <c r="P95" s="34"/>
      <c r="Q95" s="34"/>
      <c r="R95" s="203"/>
      <c r="S95" s="223"/>
    </row>
    <row r="96" spans="1:19" ht="12.75">
      <c r="A96" s="223"/>
      <c r="B96" s="5"/>
      <c r="C96" s="84" t="s">
        <v>30</v>
      </c>
      <c r="D96" s="10"/>
      <c r="E96" s="87" t="s">
        <v>110</v>
      </c>
      <c r="F96" s="215">
        <f>D26</f>
        <v>0</v>
      </c>
      <c r="G96" s="85">
        <f>F96*60</f>
        <v>0</v>
      </c>
      <c r="H96" s="83"/>
      <c r="I96" s="5"/>
      <c r="J96" s="86"/>
      <c r="K96" s="5"/>
      <c r="L96" s="5"/>
      <c r="M96" s="5"/>
      <c r="N96" s="35"/>
      <c r="O96" s="34"/>
      <c r="P96" s="34"/>
      <c r="Q96" s="34"/>
      <c r="R96" s="203"/>
      <c r="S96" s="223"/>
    </row>
    <row r="97" spans="1:19" ht="12.75">
      <c r="A97" s="223"/>
      <c r="B97" s="5"/>
      <c r="C97" s="88"/>
      <c r="D97" s="89"/>
      <c r="E97" s="89"/>
      <c r="F97" s="90" t="s">
        <v>31</v>
      </c>
      <c r="G97" s="91">
        <f>SUM(G94:G96)</f>
        <v>160</v>
      </c>
      <c r="H97" s="28"/>
      <c r="I97" s="5"/>
      <c r="J97" s="86"/>
      <c r="K97" s="5"/>
      <c r="L97" s="5"/>
      <c r="M97" s="5"/>
      <c r="N97" s="35"/>
      <c r="O97" s="34"/>
      <c r="P97" s="34"/>
      <c r="Q97" s="34"/>
      <c r="R97" s="203"/>
      <c r="S97" s="223"/>
    </row>
    <row r="98" spans="1:19" ht="12.75">
      <c r="A98" s="223"/>
      <c r="B98" s="5"/>
      <c r="C98" s="5"/>
      <c r="D98" s="5"/>
      <c r="E98" s="5"/>
      <c r="F98" s="5"/>
      <c r="G98" s="5"/>
      <c r="H98" s="5"/>
      <c r="I98" s="5"/>
      <c r="J98" s="5"/>
      <c r="K98" s="5"/>
      <c r="L98" s="5"/>
      <c r="M98" s="5"/>
      <c r="N98" s="35"/>
      <c r="O98" s="34"/>
      <c r="P98" s="34"/>
      <c r="Q98" s="34"/>
      <c r="R98" s="203"/>
      <c r="S98" s="223"/>
    </row>
    <row r="99" spans="1:19" ht="12.75">
      <c r="A99" s="223"/>
      <c r="B99" s="61"/>
      <c r="C99" s="5" t="s">
        <v>33</v>
      </c>
      <c r="D99" s="5"/>
      <c r="E99" s="5"/>
      <c r="F99" s="5"/>
      <c r="G99" s="5"/>
      <c r="H99" s="5"/>
      <c r="I99" s="5"/>
      <c r="J99" s="5"/>
      <c r="K99" s="5"/>
      <c r="L99" s="5"/>
      <c r="M99" s="5"/>
      <c r="N99" s="177" t="b">
        <v>0</v>
      </c>
      <c r="O99" s="174" t="s">
        <v>246</v>
      </c>
      <c r="P99" s="174"/>
      <c r="Q99" s="34"/>
      <c r="R99" s="203"/>
      <c r="S99" s="223"/>
    </row>
    <row r="100" spans="1:19" ht="12.75">
      <c r="A100" s="223"/>
      <c r="B100" s="5"/>
      <c r="C100" s="277" t="s">
        <v>466</v>
      </c>
      <c r="D100" s="5"/>
      <c r="E100" s="5"/>
      <c r="F100" s="5"/>
      <c r="G100" s="5"/>
      <c r="H100" s="5"/>
      <c r="I100" s="41">
        <f>ROUND(I92/2,0)</f>
        <v>0</v>
      </c>
      <c r="J100" s="5"/>
      <c r="K100" s="5"/>
      <c r="L100" s="41"/>
      <c r="M100" s="5"/>
      <c r="N100" s="35"/>
      <c r="O100" s="34"/>
      <c r="P100" s="34"/>
      <c r="Q100" s="34"/>
      <c r="R100" s="203"/>
      <c r="S100" s="223"/>
    </row>
    <row r="101" spans="1:19" ht="12.75">
      <c r="A101" s="223"/>
      <c r="B101" s="5"/>
      <c r="C101" s="5"/>
      <c r="D101" s="5"/>
      <c r="E101" s="5"/>
      <c r="F101" s="5"/>
      <c r="G101" s="5"/>
      <c r="H101" s="5"/>
      <c r="I101" s="5"/>
      <c r="J101" s="5"/>
      <c r="K101" s="5"/>
      <c r="L101" s="5"/>
      <c r="M101" s="5"/>
      <c r="N101" s="35"/>
      <c r="O101" s="34"/>
      <c r="P101" s="34"/>
      <c r="Q101" s="34"/>
      <c r="R101" s="203"/>
      <c r="S101" s="223"/>
    </row>
    <row r="102" spans="1:19" ht="12.75">
      <c r="A102" s="223"/>
      <c r="B102" s="5"/>
      <c r="C102" s="32" t="s">
        <v>34</v>
      </c>
      <c r="D102" s="32"/>
      <c r="E102" s="44">
        <f>IF(N91,I92,IF(N99,I100,0))</f>
        <v>0</v>
      </c>
      <c r="F102" s="32"/>
      <c r="G102" s="5"/>
      <c r="H102" s="44"/>
      <c r="I102" s="5"/>
      <c r="J102" s="5"/>
      <c r="K102" s="5"/>
      <c r="L102" s="5"/>
      <c r="M102" s="5"/>
      <c r="N102" s="35"/>
      <c r="O102" s="34"/>
      <c r="P102" s="34"/>
      <c r="Q102" s="34"/>
      <c r="R102" s="203"/>
      <c r="S102" s="223"/>
    </row>
    <row r="103" spans="1:19" ht="12.75">
      <c r="A103" s="223"/>
      <c r="B103" s="223"/>
      <c r="C103" s="223"/>
      <c r="D103" s="223"/>
      <c r="E103" s="223"/>
      <c r="F103" s="223"/>
      <c r="G103" s="223"/>
      <c r="H103" s="223"/>
      <c r="I103" s="223"/>
      <c r="J103" s="223"/>
      <c r="K103" s="223"/>
      <c r="L103" s="223"/>
      <c r="M103" s="223"/>
      <c r="N103" s="35"/>
      <c r="O103" s="34"/>
      <c r="P103" s="34"/>
      <c r="Q103" s="34"/>
      <c r="R103" s="203"/>
      <c r="S103" s="223"/>
    </row>
    <row r="104" spans="1:19" ht="12.75">
      <c r="A104" s="333" t="s">
        <v>100</v>
      </c>
      <c r="B104" s="25" t="s">
        <v>36</v>
      </c>
      <c r="C104" s="5"/>
      <c r="D104" s="5"/>
      <c r="E104" s="5"/>
      <c r="F104" s="5"/>
      <c r="G104" s="5"/>
      <c r="H104" s="5"/>
      <c r="I104" s="5"/>
      <c r="J104" s="5"/>
      <c r="K104" s="5"/>
      <c r="L104" s="5"/>
      <c r="M104" s="5"/>
      <c r="N104" s="35"/>
      <c r="O104" s="34"/>
      <c r="P104" s="34"/>
      <c r="Q104" s="34"/>
      <c r="R104" s="203"/>
      <c r="S104" s="223"/>
    </row>
    <row r="105" spans="1:19" ht="12.75">
      <c r="A105" s="333"/>
      <c r="B105" s="25"/>
      <c r="C105" s="5"/>
      <c r="D105" s="5"/>
      <c r="E105" s="5"/>
      <c r="F105" s="5"/>
      <c r="G105" s="5"/>
      <c r="H105" s="5"/>
      <c r="I105" s="5"/>
      <c r="J105" s="5"/>
      <c r="K105" s="5"/>
      <c r="L105" s="5"/>
      <c r="M105" s="5"/>
      <c r="N105" s="35"/>
      <c r="O105" s="34"/>
      <c r="P105" s="34"/>
      <c r="Q105" s="34"/>
      <c r="R105" s="203"/>
      <c r="S105" s="223"/>
    </row>
    <row r="106" spans="1:19" ht="12.75">
      <c r="A106" s="223"/>
      <c r="B106" s="42" t="s">
        <v>101</v>
      </c>
      <c r="C106" s="42" t="s">
        <v>117</v>
      </c>
      <c r="D106" s="5"/>
      <c r="E106" s="5"/>
      <c r="F106" s="5"/>
      <c r="G106" s="5"/>
      <c r="H106" s="5"/>
      <c r="I106" s="5"/>
      <c r="J106" s="5"/>
      <c r="K106" s="5"/>
      <c r="L106" s="5"/>
      <c r="M106" s="5"/>
      <c r="N106" s="35"/>
      <c r="O106" s="34"/>
      <c r="P106" s="34"/>
      <c r="Q106" s="34"/>
      <c r="R106" s="203"/>
      <c r="S106" s="223"/>
    </row>
    <row r="107" spans="1:19" ht="12.75">
      <c r="A107" s="223"/>
      <c r="B107" s="42"/>
      <c r="C107" s="42" t="s">
        <v>192</v>
      </c>
      <c r="D107" s="5"/>
      <c r="E107" s="5"/>
      <c r="F107" s="5"/>
      <c r="G107" s="5"/>
      <c r="H107" s="5"/>
      <c r="I107" s="5"/>
      <c r="J107" s="5"/>
      <c r="K107" s="5"/>
      <c r="L107" s="5"/>
      <c r="M107" s="5"/>
      <c r="N107" s="35"/>
      <c r="O107" s="34"/>
      <c r="P107" s="34"/>
      <c r="Q107" s="34"/>
      <c r="R107" s="203"/>
      <c r="S107" s="223"/>
    </row>
    <row r="108" spans="1:19" ht="12.75">
      <c r="A108" s="223"/>
      <c r="B108" s="5"/>
      <c r="C108" s="5"/>
      <c r="D108" s="73" t="s">
        <v>111</v>
      </c>
      <c r="E108" s="106">
        <v>400</v>
      </c>
      <c r="F108" s="83" t="s">
        <v>112</v>
      </c>
      <c r="G108" s="107">
        <v>0.195</v>
      </c>
      <c r="H108" s="43" t="s">
        <v>113</v>
      </c>
      <c r="I108" s="92">
        <f>E108*G108</f>
        <v>78</v>
      </c>
      <c r="J108" s="93"/>
      <c r="K108" s="5"/>
      <c r="L108" s="5"/>
      <c r="M108" s="5"/>
      <c r="N108" s="35"/>
      <c r="O108" s="34"/>
      <c r="P108" s="34"/>
      <c r="Q108" s="34"/>
      <c r="R108" s="203"/>
      <c r="S108" s="223"/>
    </row>
    <row r="109" spans="1:19" ht="12.75">
      <c r="A109" s="223"/>
      <c r="B109" s="5"/>
      <c r="C109" s="66"/>
      <c r="D109" s="83"/>
      <c r="E109" s="94"/>
      <c r="F109" s="83"/>
      <c r="G109" s="95"/>
      <c r="H109" s="43"/>
      <c r="I109" s="92"/>
      <c r="J109" s="93"/>
      <c r="K109" s="5"/>
      <c r="L109" s="5"/>
      <c r="M109" s="5"/>
      <c r="N109" s="35"/>
      <c r="O109" s="34"/>
      <c r="P109" s="34"/>
      <c r="Q109" s="34"/>
      <c r="R109" s="203"/>
      <c r="S109" s="223"/>
    </row>
    <row r="110" spans="1:19" ht="12.75">
      <c r="A110" s="223"/>
      <c r="B110" s="5"/>
      <c r="C110" s="96" t="s">
        <v>37</v>
      </c>
      <c r="D110" s="96" t="s">
        <v>193</v>
      </c>
      <c r="E110" s="97" t="s">
        <v>116</v>
      </c>
      <c r="F110" s="98"/>
      <c r="G110" s="99" t="s">
        <v>38</v>
      </c>
      <c r="H110" s="83"/>
      <c r="I110" s="83"/>
      <c r="J110" s="83"/>
      <c r="K110" s="5"/>
      <c r="L110" s="83"/>
      <c r="M110" s="5"/>
      <c r="N110" s="35"/>
      <c r="O110" s="34"/>
      <c r="P110" s="34"/>
      <c r="Q110" s="34"/>
      <c r="R110" s="203"/>
      <c r="S110" s="223"/>
    </row>
    <row r="111" spans="1:19" ht="12.75">
      <c r="A111" s="223"/>
      <c r="B111" s="5"/>
      <c r="C111" s="302">
        <f>Daten!C13</f>
        <v>0</v>
      </c>
      <c r="D111" s="108"/>
      <c r="E111" s="100">
        <f>I108</f>
        <v>78</v>
      </c>
      <c r="F111" s="101"/>
      <c r="G111" s="102">
        <f>IF(E111&gt;D111,D111,E111)</f>
        <v>0</v>
      </c>
      <c r="H111" s="94"/>
      <c r="I111" s="94"/>
      <c r="J111" s="94"/>
      <c r="K111" s="5"/>
      <c r="L111" s="94"/>
      <c r="M111" s="5"/>
      <c r="N111" s="35"/>
      <c r="O111" s="34"/>
      <c r="P111" s="34"/>
      <c r="Q111" s="34"/>
      <c r="R111" s="203"/>
      <c r="S111" s="223"/>
    </row>
    <row r="112" spans="1:19" ht="12.75">
      <c r="A112" s="223"/>
      <c r="B112" s="5"/>
      <c r="C112" s="302">
        <f>Daten!D13</f>
        <v>0</v>
      </c>
      <c r="D112" s="108"/>
      <c r="E112" s="100">
        <f>I108</f>
        <v>78</v>
      </c>
      <c r="F112" s="101"/>
      <c r="G112" s="102">
        <f>IF(E112&gt;D112,D112,E112)</f>
        <v>0</v>
      </c>
      <c r="H112" s="94"/>
      <c r="I112" s="94"/>
      <c r="J112" s="94"/>
      <c r="K112" s="5"/>
      <c r="L112" s="94"/>
      <c r="M112" s="5"/>
      <c r="N112" s="35"/>
      <c r="O112" s="34"/>
      <c r="P112" s="34"/>
      <c r="Q112" s="34"/>
      <c r="R112" s="203"/>
      <c r="S112" s="223"/>
    </row>
    <row r="113" spans="1:19" ht="12.75">
      <c r="A113" s="223"/>
      <c r="B113" s="5"/>
      <c r="C113" s="302">
        <f>Daten!E13</f>
        <v>0</v>
      </c>
      <c r="D113" s="108"/>
      <c r="E113" s="100">
        <f>I108</f>
        <v>78</v>
      </c>
      <c r="F113" s="101"/>
      <c r="G113" s="102">
        <f>IF(E113&gt;D113,D113,E113)</f>
        <v>0</v>
      </c>
      <c r="H113" s="94"/>
      <c r="I113" s="94"/>
      <c r="J113" s="94"/>
      <c r="K113" s="5"/>
      <c r="L113" s="94"/>
      <c r="M113" s="5"/>
      <c r="N113" s="35"/>
      <c r="O113" s="34"/>
      <c r="P113" s="34"/>
      <c r="Q113" s="34"/>
      <c r="R113" s="203"/>
      <c r="S113" s="223"/>
    </row>
    <row r="114" spans="1:19" ht="12.75">
      <c r="A114" s="223"/>
      <c r="B114" s="5"/>
      <c r="C114" s="302">
        <f>Daten!F13</f>
        <v>0</v>
      </c>
      <c r="D114" s="108"/>
      <c r="E114" s="100">
        <f>I108</f>
        <v>78</v>
      </c>
      <c r="F114" s="101"/>
      <c r="G114" s="102">
        <f>IF(E114&gt;D114,D114,E114)</f>
        <v>0</v>
      </c>
      <c r="H114" s="94"/>
      <c r="I114" s="94"/>
      <c r="J114" s="94"/>
      <c r="K114" s="5"/>
      <c r="L114" s="94"/>
      <c r="M114" s="5"/>
      <c r="N114" s="35"/>
      <c r="O114" s="34"/>
      <c r="P114" s="34"/>
      <c r="Q114" s="34"/>
      <c r="R114" s="203"/>
      <c r="S114" s="223"/>
    </row>
    <row r="115" spans="1:19" ht="12.75">
      <c r="A115" s="223"/>
      <c r="B115" s="5"/>
      <c r="C115" s="5"/>
      <c r="D115" s="5"/>
      <c r="E115" s="5"/>
      <c r="F115" s="5"/>
      <c r="G115" s="5"/>
      <c r="H115" s="5"/>
      <c r="I115" s="5"/>
      <c r="J115" s="5"/>
      <c r="K115" s="5"/>
      <c r="L115" s="5"/>
      <c r="M115" s="5"/>
      <c r="N115" s="35"/>
      <c r="O115" s="34"/>
      <c r="P115" s="34"/>
      <c r="Q115" s="34"/>
      <c r="R115" s="203"/>
      <c r="S115" s="223"/>
    </row>
    <row r="116" spans="1:19" ht="12.75">
      <c r="A116" s="223"/>
      <c r="B116" s="5" t="s">
        <v>102</v>
      </c>
      <c r="C116" s="5" t="s">
        <v>118</v>
      </c>
      <c r="D116" s="5"/>
      <c r="E116" s="5"/>
      <c r="F116" s="5"/>
      <c r="G116" s="5"/>
      <c r="H116" s="5"/>
      <c r="I116" s="5"/>
      <c r="J116" s="5"/>
      <c r="K116" s="5"/>
      <c r="L116" s="5"/>
      <c r="M116" s="5"/>
      <c r="N116" s="35"/>
      <c r="O116" s="34"/>
      <c r="P116" s="34"/>
      <c r="Q116" s="34"/>
      <c r="R116" s="203"/>
      <c r="S116" s="223"/>
    </row>
    <row r="117" spans="1:19" ht="12.75">
      <c r="A117" s="223"/>
      <c r="B117" s="5"/>
      <c r="C117" s="103" t="s">
        <v>114</v>
      </c>
      <c r="D117" s="103"/>
      <c r="E117" s="103"/>
      <c r="F117" s="103"/>
      <c r="G117" s="103"/>
      <c r="H117" s="103"/>
      <c r="I117" s="103"/>
      <c r="J117" s="103"/>
      <c r="K117" s="103"/>
      <c r="L117" s="103"/>
      <c r="M117" s="5"/>
      <c r="N117" s="35"/>
      <c r="O117" s="34"/>
      <c r="P117" s="34"/>
      <c r="Q117" s="34"/>
      <c r="R117" s="203"/>
      <c r="S117" s="223"/>
    </row>
    <row r="118" spans="1:19" ht="12.75">
      <c r="A118" s="223"/>
      <c r="B118" s="5"/>
      <c r="C118" s="5"/>
      <c r="D118" s="73" t="s">
        <v>115</v>
      </c>
      <c r="E118" s="106">
        <v>400</v>
      </c>
      <c r="F118" s="83" t="s">
        <v>112</v>
      </c>
      <c r="G118" s="107">
        <v>0.144</v>
      </c>
      <c r="H118" s="43" t="s">
        <v>113</v>
      </c>
      <c r="I118" s="92">
        <f>E118*G118</f>
        <v>57.599999999999994</v>
      </c>
      <c r="J118" s="104"/>
      <c r="K118" s="103"/>
      <c r="L118" s="103"/>
      <c r="M118" s="5"/>
      <c r="N118" s="35"/>
      <c r="O118" s="34"/>
      <c r="P118" s="34"/>
      <c r="Q118" s="34"/>
      <c r="R118" s="203"/>
      <c r="S118" s="223"/>
    </row>
    <row r="119" spans="1:19" ht="12.75">
      <c r="A119" s="223"/>
      <c r="B119" s="5"/>
      <c r="C119" s="36"/>
      <c r="D119" s="36"/>
      <c r="E119" s="83"/>
      <c r="F119" s="83"/>
      <c r="G119" s="83"/>
      <c r="H119" s="83"/>
      <c r="I119" s="83"/>
      <c r="J119" s="83"/>
      <c r="K119" s="83"/>
      <c r="L119" s="83"/>
      <c r="M119" s="5"/>
      <c r="N119" s="35"/>
      <c r="O119" s="34"/>
      <c r="P119" s="34"/>
      <c r="Q119" s="34"/>
      <c r="R119" s="203"/>
      <c r="S119" s="223"/>
    </row>
    <row r="120" spans="1:19" ht="12.75">
      <c r="A120" s="223"/>
      <c r="B120" s="5"/>
      <c r="C120" s="96" t="s">
        <v>37</v>
      </c>
      <c r="D120" s="96" t="s">
        <v>193</v>
      </c>
      <c r="E120" s="97" t="s">
        <v>116</v>
      </c>
      <c r="F120" s="98"/>
      <c r="G120" s="99" t="s">
        <v>38</v>
      </c>
      <c r="H120" s="94"/>
      <c r="I120" s="94"/>
      <c r="J120" s="94"/>
      <c r="K120" s="94"/>
      <c r="L120" s="94"/>
      <c r="M120" s="5"/>
      <c r="N120" s="35"/>
      <c r="O120" s="34"/>
      <c r="P120" s="34"/>
      <c r="Q120" s="34"/>
      <c r="R120" s="203"/>
      <c r="S120" s="223"/>
    </row>
    <row r="121" spans="1:19" ht="12.75">
      <c r="A121" s="223"/>
      <c r="B121" s="5"/>
      <c r="C121" s="303">
        <f>C111</f>
        <v>0</v>
      </c>
      <c r="D121" s="108"/>
      <c r="E121" s="100">
        <f>I118</f>
        <v>57.599999999999994</v>
      </c>
      <c r="F121" s="101"/>
      <c r="G121" s="102">
        <f>IF(E121&gt;D121,D121,E121)</f>
        <v>0</v>
      </c>
      <c r="H121" s="94"/>
      <c r="I121" s="94"/>
      <c r="J121" s="94"/>
      <c r="K121" s="94"/>
      <c r="L121" s="94"/>
      <c r="M121" s="5"/>
      <c r="N121" s="35"/>
      <c r="O121" s="34"/>
      <c r="P121" s="34"/>
      <c r="Q121" s="34"/>
      <c r="R121" s="203"/>
      <c r="S121" s="223"/>
    </row>
    <row r="122" spans="1:19" ht="12.75">
      <c r="A122" s="223"/>
      <c r="B122" s="5"/>
      <c r="C122" s="303">
        <f>C112</f>
        <v>0</v>
      </c>
      <c r="D122" s="108"/>
      <c r="E122" s="100">
        <f>I118</f>
        <v>57.599999999999994</v>
      </c>
      <c r="F122" s="101"/>
      <c r="G122" s="102">
        <f>IF(E122&gt;D122,D122,E122)</f>
        <v>0</v>
      </c>
      <c r="H122" s="94"/>
      <c r="I122" s="94"/>
      <c r="J122" s="94"/>
      <c r="K122" s="94"/>
      <c r="L122" s="94"/>
      <c r="M122" s="5"/>
      <c r="N122" s="35"/>
      <c r="O122" s="34"/>
      <c r="P122" s="34"/>
      <c r="Q122" s="34"/>
      <c r="R122" s="203"/>
      <c r="S122" s="223"/>
    </row>
    <row r="123" spans="1:19" ht="12.75">
      <c r="A123" s="223"/>
      <c r="B123" s="5"/>
      <c r="C123" s="303">
        <f>C113</f>
        <v>0</v>
      </c>
      <c r="D123" s="108"/>
      <c r="E123" s="100">
        <f>I118</f>
        <v>57.599999999999994</v>
      </c>
      <c r="F123" s="101"/>
      <c r="G123" s="102">
        <f>IF(E123&gt;D123,D123,E123)</f>
        <v>0</v>
      </c>
      <c r="H123" s="94"/>
      <c r="I123" s="94"/>
      <c r="J123" s="94"/>
      <c r="K123" s="94"/>
      <c r="L123" s="94"/>
      <c r="M123" s="5"/>
      <c r="N123" s="35"/>
      <c r="O123" s="34"/>
      <c r="P123" s="34"/>
      <c r="Q123" s="34"/>
      <c r="R123" s="203"/>
      <c r="S123" s="223"/>
    </row>
    <row r="124" spans="1:19" ht="12.75">
      <c r="A124" s="223"/>
      <c r="B124" s="5"/>
      <c r="C124" s="303">
        <f>C114</f>
        <v>0</v>
      </c>
      <c r="D124" s="108"/>
      <c r="E124" s="100">
        <f>I118</f>
        <v>57.599999999999994</v>
      </c>
      <c r="F124" s="101"/>
      <c r="G124" s="102">
        <f>IF(E124&gt;D124,D124,E124)</f>
        <v>0</v>
      </c>
      <c r="H124" s="5"/>
      <c r="I124" s="28"/>
      <c r="J124" s="28"/>
      <c r="K124" s="94"/>
      <c r="L124" s="94"/>
      <c r="M124" s="41"/>
      <c r="N124" s="35"/>
      <c r="O124" s="34"/>
      <c r="P124" s="34"/>
      <c r="Q124" s="34"/>
      <c r="R124" s="203"/>
      <c r="S124" s="223"/>
    </row>
    <row r="125" spans="1:19" ht="12.75">
      <c r="A125" s="223"/>
      <c r="B125" s="5"/>
      <c r="C125" s="36"/>
      <c r="D125" s="94"/>
      <c r="E125" s="105"/>
      <c r="F125" s="94"/>
      <c r="G125" s="94"/>
      <c r="H125" s="5"/>
      <c r="I125" s="28"/>
      <c r="J125" s="28"/>
      <c r="K125" s="94"/>
      <c r="L125" s="94"/>
      <c r="M125" s="41"/>
      <c r="N125" s="35"/>
      <c r="O125" s="34"/>
      <c r="P125" s="34"/>
      <c r="Q125" s="34"/>
      <c r="R125" s="203"/>
      <c r="S125" s="223"/>
    </row>
    <row r="126" spans="1:19" ht="12.75">
      <c r="A126" s="223"/>
      <c r="B126" s="5" t="s">
        <v>103</v>
      </c>
      <c r="C126" s="5" t="s">
        <v>119</v>
      </c>
      <c r="D126" s="5"/>
      <c r="E126" s="5"/>
      <c r="F126" s="5"/>
      <c r="G126" s="5"/>
      <c r="H126" s="5"/>
      <c r="I126" s="5"/>
      <c r="J126" s="5"/>
      <c r="K126" s="5"/>
      <c r="L126" s="5"/>
      <c r="M126" s="5"/>
      <c r="N126" s="35"/>
      <c r="O126" s="34"/>
      <c r="P126" s="34"/>
      <c r="Q126" s="34"/>
      <c r="R126" s="203"/>
      <c r="S126" s="223"/>
    </row>
    <row r="127" spans="1:19" ht="12.75">
      <c r="A127" s="223"/>
      <c r="B127" s="5"/>
      <c r="C127" s="103" t="s">
        <v>40</v>
      </c>
      <c r="D127" s="103"/>
      <c r="E127" s="103"/>
      <c r="F127" s="103"/>
      <c r="G127" s="103"/>
      <c r="H127" s="103"/>
      <c r="I127" s="103"/>
      <c r="J127" s="103"/>
      <c r="K127" s="103"/>
      <c r="L127" s="103"/>
      <c r="M127" s="496"/>
      <c r="N127" s="35"/>
      <c r="O127" s="34"/>
      <c r="P127" s="34"/>
      <c r="Q127" s="34"/>
      <c r="R127" s="203"/>
      <c r="S127" s="223"/>
    </row>
    <row r="128" spans="1:19" ht="12.75">
      <c r="A128" s="223"/>
      <c r="B128" s="5"/>
      <c r="C128" s="5"/>
      <c r="D128" s="73" t="s">
        <v>115</v>
      </c>
      <c r="E128" s="106">
        <v>400</v>
      </c>
      <c r="F128" s="83" t="s">
        <v>112</v>
      </c>
      <c r="G128" s="107">
        <v>0.017</v>
      </c>
      <c r="H128" s="43" t="s">
        <v>113</v>
      </c>
      <c r="I128" s="92">
        <f>E128*G128</f>
        <v>6.800000000000001</v>
      </c>
      <c r="J128" s="103"/>
      <c r="K128" s="103"/>
      <c r="L128" s="103"/>
      <c r="M128" s="496"/>
      <c r="N128" s="35"/>
      <c r="O128" s="34"/>
      <c r="P128" s="34"/>
      <c r="Q128" s="34"/>
      <c r="R128" s="203"/>
      <c r="S128" s="223"/>
    </row>
    <row r="129" spans="1:19" ht="12.75">
      <c r="A129" s="223"/>
      <c r="B129" s="5"/>
      <c r="C129" s="5"/>
      <c r="D129" s="73"/>
      <c r="E129" s="94"/>
      <c r="F129" s="83"/>
      <c r="G129" s="95"/>
      <c r="H129" s="43"/>
      <c r="I129" s="92"/>
      <c r="J129" s="103"/>
      <c r="K129" s="103"/>
      <c r="L129" s="103"/>
      <c r="M129" s="496"/>
      <c r="N129" s="35"/>
      <c r="O129" s="34"/>
      <c r="P129" s="34"/>
      <c r="Q129" s="34"/>
      <c r="R129" s="203"/>
      <c r="S129" s="223"/>
    </row>
    <row r="130" spans="1:19" ht="12.75">
      <c r="A130" s="223"/>
      <c r="B130" s="5"/>
      <c r="C130" s="96" t="s">
        <v>37</v>
      </c>
      <c r="D130" s="96" t="s">
        <v>193</v>
      </c>
      <c r="E130" s="97" t="s">
        <v>116</v>
      </c>
      <c r="F130" s="98"/>
      <c r="G130" s="99" t="s">
        <v>38</v>
      </c>
      <c r="H130" s="83"/>
      <c r="I130" s="83"/>
      <c r="J130" s="83"/>
      <c r="K130" s="83"/>
      <c r="L130" s="83"/>
      <c r="M130" s="5"/>
      <c r="N130" s="35"/>
      <c r="O130" s="34"/>
      <c r="P130" s="34"/>
      <c r="Q130" s="34"/>
      <c r="R130" s="203"/>
      <c r="S130" s="223"/>
    </row>
    <row r="131" spans="1:19" ht="12.75">
      <c r="A131" s="223"/>
      <c r="B131" s="5"/>
      <c r="C131" s="302">
        <f>C111</f>
        <v>0</v>
      </c>
      <c r="D131" s="108"/>
      <c r="E131" s="100">
        <f>I128</f>
        <v>6.800000000000001</v>
      </c>
      <c r="F131" s="101"/>
      <c r="G131" s="102">
        <f>IF(E131&gt;D131,D131,E131)</f>
        <v>0</v>
      </c>
      <c r="H131" s="94"/>
      <c r="I131" s="94"/>
      <c r="J131" s="94"/>
      <c r="K131" s="94"/>
      <c r="L131" s="94"/>
      <c r="M131" s="5"/>
      <c r="N131" s="35"/>
      <c r="O131" s="34"/>
      <c r="P131" s="34"/>
      <c r="Q131" s="34"/>
      <c r="R131" s="203"/>
      <c r="S131" s="223"/>
    </row>
    <row r="132" spans="1:19" ht="12.75">
      <c r="A132" s="223"/>
      <c r="B132" s="5"/>
      <c r="C132" s="302">
        <f>C112</f>
        <v>0</v>
      </c>
      <c r="D132" s="108"/>
      <c r="E132" s="100">
        <f>I128</f>
        <v>6.800000000000001</v>
      </c>
      <c r="F132" s="101"/>
      <c r="G132" s="102">
        <f>IF(E132&gt;D132,D132,E132)</f>
        <v>0</v>
      </c>
      <c r="H132" s="94"/>
      <c r="I132" s="94"/>
      <c r="J132" s="94"/>
      <c r="K132" s="94"/>
      <c r="L132" s="94"/>
      <c r="M132" s="5"/>
      <c r="N132" s="35"/>
      <c r="O132" s="34"/>
      <c r="P132" s="34"/>
      <c r="Q132" s="34"/>
      <c r="R132" s="203"/>
      <c r="S132" s="223"/>
    </row>
    <row r="133" spans="1:19" ht="12.75">
      <c r="A133" s="223"/>
      <c r="B133" s="5"/>
      <c r="C133" s="302">
        <f>C113</f>
        <v>0</v>
      </c>
      <c r="D133" s="108"/>
      <c r="E133" s="100">
        <f>I128</f>
        <v>6.800000000000001</v>
      </c>
      <c r="F133" s="101"/>
      <c r="G133" s="102">
        <f>IF(E133&gt;D133,D133,E133)</f>
        <v>0</v>
      </c>
      <c r="H133" s="94"/>
      <c r="I133" s="94"/>
      <c r="J133" s="94"/>
      <c r="K133" s="94"/>
      <c r="L133" s="94"/>
      <c r="M133" s="5"/>
      <c r="N133" s="35"/>
      <c r="O133" s="34"/>
      <c r="P133" s="34"/>
      <c r="Q133" s="34"/>
      <c r="R133" s="203"/>
      <c r="S133" s="223"/>
    </row>
    <row r="134" spans="1:19" ht="12.75">
      <c r="A134" s="223"/>
      <c r="B134" s="5"/>
      <c r="C134" s="302">
        <f>C114</f>
        <v>0</v>
      </c>
      <c r="D134" s="108"/>
      <c r="E134" s="100">
        <f>I128</f>
        <v>6.800000000000001</v>
      </c>
      <c r="F134" s="101"/>
      <c r="G134" s="102">
        <f>IF(E134&gt;D134,D134,E134)</f>
        <v>0</v>
      </c>
      <c r="H134" s="94"/>
      <c r="I134" s="94"/>
      <c r="J134" s="94"/>
      <c r="K134" s="94"/>
      <c r="L134" s="94"/>
      <c r="M134" s="5"/>
      <c r="N134" s="35"/>
      <c r="O134" s="34"/>
      <c r="P134" s="34"/>
      <c r="Q134" s="34"/>
      <c r="R134" s="203"/>
      <c r="S134" s="223"/>
    </row>
    <row r="135" spans="1:19" ht="12.75">
      <c r="A135" s="223"/>
      <c r="B135" s="5"/>
      <c r="C135" s="5"/>
      <c r="D135" s="5"/>
      <c r="E135" s="5"/>
      <c r="F135" s="5"/>
      <c r="G135" s="5"/>
      <c r="H135" s="5"/>
      <c r="I135" s="28"/>
      <c r="J135" s="28"/>
      <c r="K135" s="94"/>
      <c r="L135" s="94"/>
      <c r="M135" s="41"/>
      <c r="N135" s="241"/>
      <c r="O135" s="203"/>
      <c r="P135" s="203"/>
      <c r="Q135" s="203"/>
      <c r="R135" s="203"/>
      <c r="S135" s="223"/>
    </row>
    <row r="136" spans="1:19" ht="12.75">
      <c r="A136" s="223"/>
      <c r="B136" s="223"/>
      <c r="C136" s="223"/>
      <c r="D136" s="223"/>
      <c r="E136" s="223"/>
      <c r="F136" s="223"/>
      <c r="G136" s="223"/>
      <c r="H136" s="223"/>
      <c r="I136" s="223"/>
      <c r="J136" s="223"/>
      <c r="K136" s="223"/>
      <c r="L136" s="223"/>
      <c r="M136" s="223"/>
      <c r="N136" s="260"/>
      <c r="O136" s="240"/>
      <c r="P136" s="240"/>
      <c r="Q136" s="240"/>
      <c r="S136" s="223"/>
    </row>
    <row r="137" spans="1:19" ht="12.75">
      <c r="A137" s="223"/>
      <c r="B137" s="223"/>
      <c r="C137" s="310"/>
      <c r="D137" s="223"/>
      <c r="E137" s="223"/>
      <c r="F137" s="223"/>
      <c r="G137" s="311" t="s">
        <v>176</v>
      </c>
      <c r="H137" s="223"/>
      <c r="I137" s="223"/>
      <c r="J137" s="223"/>
      <c r="K137" s="223"/>
      <c r="L137" s="223"/>
      <c r="M137" s="223"/>
      <c r="N137" s="260"/>
      <c r="O137" s="240"/>
      <c r="P137" s="240"/>
      <c r="Q137" s="240"/>
      <c r="S137" s="223"/>
    </row>
    <row r="138" spans="1:19" ht="12.75">
      <c r="A138" s="223"/>
      <c r="B138" s="223"/>
      <c r="C138" s="223"/>
      <c r="D138" s="223"/>
      <c r="E138" s="223"/>
      <c r="F138" s="223"/>
      <c r="G138" s="223"/>
      <c r="H138" s="223"/>
      <c r="I138" s="223"/>
      <c r="J138" s="223"/>
      <c r="K138" s="223"/>
      <c r="L138" s="223"/>
      <c r="M138" s="223"/>
      <c r="N138" s="260"/>
      <c r="O138" s="240"/>
      <c r="P138" s="240"/>
      <c r="Q138" s="240"/>
      <c r="S138" s="223"/>
    </row>
    <row r="139" spans="1:19" ht="12.75">
      <c r="A139" s="223"/>
      <c r="B139" s="223"/>
      <c r="C139" s="223"/>
      <c r="D139" s="223"/>
      <c r="E139" s="223"/>
      <c r="F139" s="223"/>
      <c r="G139" s="311" t="s">
        <v>177</v>
      </c>
      <c r="H139" s="223"/>
      <c r="I139" s="223"/>
      <c r="J139" s="223"/>
      <c r="K139" s="223"/>
      <c r="L139" s="223"/>
      <c r="M139" s="223"/>
      <c r="N139" s="260"/>
      <c r="O139" s="240"/>
      <c r="P139" s="240"/>
      <c r="Q139" s="240"/>
      <c r="S139" s="223"/>
    </row>
    <row r="140" spans="1:19" ht="12.75">
      <c r="A140" s="223"/>
      <c r="B140" s="223"/>
      <c r="C140" s="223"/>
      <c r="D140" s="223"/>
      <c r="E140" s="223"/>
      <c r="F140" s="223"/>
      <c r="G140" s="223"/>
      <c r="H140" s="223"/>
      <c r="I140" s="223"/>
      <c r="J140" s="223"/>
      <c r="K140" s="223"/>
      <c r="L140" s="223"/>
      <c r="M140" s="223"/>
      <c r="N140" s="260"/>
      <c r="O140" s="240"/>
      <c r="P140" s="240"/>
      <c r="Q140" s="240"/>
      <c r="S140" s="223"/>
    </row>
    <row r="141" spans="1:19" ht="12.75">
      <c r="A141" s="223"/>
      <c r="B141" s="223"/>
      <c r="C141" s="223"/>
      <c r="D141" s="223"/>
      <c r="E141" s="223"/>
      <c r="F141" s="223"/>
      <c r="G141" s="223"/>
      <c r="H141" s="223"/>
      <c r="I141" s="223"/>
      <c r="J141" s="223"/>
      <c r="K141" s="223"/>
      <c r="L141" s="223"/>
      <c r="M141" s="223"/>
      <c r="N141" s="260"/>
      <c r="O141" s="240"/>
      <c r="P141" s="240"/>
      <c r="Q141" s="240"/>
      <c r="S141" s="223"/>
    </row>
  </sheetData>
  <sheetProtection password="C724" sheet="1" objects="1" scenarios="1"/>
  <conditionalFormatting sqref="M11:M15">
    <cfRule type="cellIs" priority="1" dxfId="0" operator="greaterThan" stopIfTrue="1">
      <formula>0</formula>
    </cfRule>
  </conditionalFormatting>
  <printOptions horizontalCentered="1"/>
  <pageMargins left="0.984251968503937" right="0.3937007874015748" top="0.984251968503937" bottom="0.984251968503937" header="0.3937007874015748" footer="0"/>
  <pageSetup blackAndWhite="1" fitToHeight="2" horizontalDpi="600" verticalDpi="600" orientation="portrait" paperSize="9" scale="83" r:id="rId4"/>
  <headerFooter alignWithMargins="0">
    <oddHeader>&amp;L&amp;"Arial,Fett"&amp;8NUTZUNG OHNE GEWÄHR&amp;C&amp;"Arial,Fett"&amp;8&amp;F&amp;R&amp;"Arial,Fett"&amp;8http://www.ArbeitslosengeldII.de</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U34"/>
  <sheetViews>
    <sheetView showGridLines="0" showRowColHeaders="0" workbookViewId="0" topLeftCell="A16">
      <selection activeCell="A1" sqref="A1"/>
    </sheetView>
  </sheetViews>
  <sheetFormatPr defaultColWidth="11.421875" defaultRowHeight="12.75" zeroHeight="1"/>
  <cols>
    <col min="1" max="1" width="2.57421875" style="50" customWidth="1"/>
    <col min="2" max="3" width="11.421875" style="50" customWidth="1"/>
    <col min="4" max="4" width="17.8515625" style="50" customWidth="1"/>
    <col min="5" max="5" width="2.8515625" style="50" customWidth="1"/>
    <col min="6" max="6" width="10.7109375" style="50" customWidth="1"/>
    <col min="7" max="7" width="2.8515625" style="50" customWidth="1"/>
    <col min="8" max="8" width="10.7109375" style="50" customWidth="1"/>
    <col min="9" max="9" width="2.8515625" style="50" customWidth="1"/>
    <col min="10" max="10" width="10.7109375" style="50" customWidth="1"/>
    <col min="11" max="11" width="2.8515625" style="50" customWidth="1"/>
    <col min="12" max="12" width="10.7109375" style="50" customWidth="1"/>
    <col min="13" max="13" width="2.8515625" style="50" customWidth="1"/>
    <col min="14" max="14" width="10.7109375" style="260" customWidth="1"/>
    <col min="15" max="19" width="6.8515625" style="241" hidden="1" customWidth="1"/>
    <col min="20" max="20" width="6.28125" style="241" hidden="1" customWidth="1"/>
    <col min="21" max="21" width="2.7109375" style="50" customWidth="1"/>
    <col min="22" max="16384" width="0" style="50" hidden="1" customWidth="1"/>
  </cols>
  <sheetData>
    <row r="1" spans="1:21" ht="15.75">
      <c r="A1" s="223"/>
      <c r="B1" s="365" t="s">
        <v>41</v>
      </c>
      <c r="C1" s="223"/>
      <c r="D1" s="223"/>
      <c r="E1" s="223"/>
      <c r="F1" s="223"/>
      <c r="G1" s="223"/>
      <c r="H1" s="223"/>
      <c r="I1" s="223"/>
      <c r="J1" s="223"/>
      <c r="K1" s="223"/>
      <c r="L1" s="223"/>
      <c r="M1" s="223"/>
      <c r="N1" s="225"/>
      <c r="O1" s="175"/>
      <c r="P1" s="175"/>
      <c r="Q1" s="175"/>
      <c r="R1" s="175"/>
      <c r="S1" s="175"/>
      <c r="T1" s="175"/>
      <c r="U1" s="223"/>
    </row>
    <row r="2" spans="1:21" ht="12.75">
      <c r="A2" s="223"/>
      <c r="B2" s="504" t="s">
        <v>432</v>
      </c>
      <c r="C2" s="319"/>
      <c r="D2" s="319"/>
      <c r="E2" s="319"/>
      <c r="F2" s="319"/>
      <c r="G2" s="319"/>
      <c r="H2" s="319"/>
      <c r="I2" s="319"/>
      <c r="J2" s="319"/>
      <c r="K2" s="319"/>
      <c r="L2" s="319"/>
      <c r="M2" s="319"/>
      <c r="N2" s="319"/>
      <c r="O2" s="35"/>
      <c r="P2" s="35"/>
      <c r="Q2" s="35"/>
      <c r="R2" s="35"/>
      <c r="S2" s="35"/>
      <c r="T2" s="35"/>
      <c r="U2" s="223"/>
    </row>
    <row r="3" spans="1:21" ht="12.75">
      <c r="A3" s="490"/>
      <c r="B3" s="490"/>
      <c r="C3" s="490"/>
      <c r="D3" s="490"/>
      <c r="E3" s="490"/>
      <c r="F3" s="490"/>
      <c r="G3" s="490"/>
      <c r="H3" s="490"/>
      <c r="I3" s="490"/>
      <c r="J3" s="490"/>
      <c r="K3" s="490"/>
      <c r="L3" s="490"/>
      <c r="M3" s="490"/>
      <c r="N3" s="490"/>
      <c r="O3" s="35"/>
      <c r="P3" s="35"/>
      <c r="Q3" s="35"/>
      <c r="R3" s="35"/>
      <c r="S3" s="35"/>
      <c r="T3" s="35"/>
      <c r="U3" s="223"/>
    </row>
    <row r="4" spans="1:21" ht="12.75">
      <c r="A4" s="223"/>
      <c r="B4" s="223"/>
      <c r="C4" s="223"/>
      <c r="D4" s="223"/>
      <c r="E4" s="341" t="s">
        <v>5</v>
      </c>
      <c r="F4" s="168">
        <f>IF(Daten!G16,"",Daten!G13)</f>
      </c>
      <c r="G4" s="347"/>
      <c r="H4" s="168">
        <f>IF(Daten!H16,"",Daten!H13)</f>
      </c>
      <c r="I4" s="347"/>
      <c r="J4" s="168">
        <f>IF(Daten!I16,"",Daten!I13)</f>
      </c>
      <c r="K4" s="347"/>
      <c r="L4" s="168">
        <f>IF(Daten!J16,"",Daten!J13)</f>
      </c>
      <c r="M4" s="347"/>
      <c r="N4" s="168">
        <f>IF(Daten!K16,"",Daten!K13)</f>
      </c>
      <c r="O4" s="35"/>
      <c r="P4" s="35"/>
      <c r="Q4" s="35"/>
      <c r="R4" s="35"/>
      <c r="S4" s="35"/>
      <c r="T4" s="35"/>
      <c r="U4" s="223"/>
    </row>
    <row r="5" spans="1:21" ht="12.75">
      <c r="A5" s="223"/>
      <c r="B5" s="223"/>
      <c r="C5" s="223"/>
      <c r="D5" s="223"/>
      <c r="E5" s="341" t="s">
        <v>203</v>
      </c>
      <c r="F5" s="305">
        <f>IF(Daten!G14="","",Daten!G14)</f>
      </c>
      <c r="G5" s="347"/>
      <c r="H5" s="305">
        <f>IF(Daten!H14="","",Daten!H14)</f>
      </c>
      <c r="I5" s="347"/>
      <c r="J5" s="305">
        <f>IF(Daten!I14="","",Daten!I14)</f>
      </c>
      <c r="K5" s="347"/>
      <c r="L5" s="305">
        <f>IF(Daten!J14="","",Daten!J14)</f>
      </c>
      <c r="M5" s="347"/>
      <c r="N5" s="305">
        <f>IF(Daten!K14="","",Daten!K14)</f>
      </c>
      <c r="O5" s="35"/>
      <c r="P5" s="35"/>
      <c r="Q5" s="35"/>
      <c r="R5" s="35"/>
      <c r="S5" s="35">
        <v>1</v>
      </c>
      <c r="T5" s="35"/>
      <c r="U5" s="223"/>
    </row>
    <row r="6" spans="1:21" ht="12.75">
      <c r="A6" s="223"/>
      <c r="B6" s="223"/>
      <c r="C6" s="223"/>
      <c r="D6" s="228"/>
      <c r="E6" s="342"/>
      <c r="F6" s="342"/>
      <c r="G6" s="342"/>
      <c r="H6" s="342"/>
      <c r="I6" s="342"/>
      <c r="J6" s="342"/>
      <c r="K6" s="342"/>
      <c r="L6" s="342"/>
      <c r="M6" s="342"/>
      <c r="N6" s="342"/>
      <c r="O6" s="175"/>
      <c r="P6" s="175"/>
      <c r="Q6" s="175"/>
      <c r="R6" s="175"/>
      <c r="S6" s="175"/>
      <c r="T6" s="175"/>
      <c r="U6" s="223"/>
    </row>
    <row r="7" spans="1:21" ht="12.75">
      <c r="A7" s="333" t="s">
        <v>121</v>
      </c>
      <c r="B7" s="25" t="s">
        <v>120</v>
      </c>
      <c r="C7" s="5"/>
      <c r="D7" s="8"/>
      <c r="E7" s="228"/>
      <c r="F7" s="183">
        <f>IF(F4="",0,IF(F5&lt;=13,60/100,80/100))</f>
        <v>0</v>
      </c>
      <c r="G7" s="348"/>
      <c r="H7" s="183">
        <f>IF(H4="",0,IF(H5&lt;=13,60/100,80/100))</f>
        <v>0</v>
      </c>
      <c r="I7" s="348"/>
      <c r="J7" s="183">
        <f>IF(J4="",0,IF(J5&lt;=13,60/100,80/100))</f>
        <v>0</v>
      </c>
      <c r="K7" s="348"/>
      <c r="L7" s="183">
        <f>IF(L4="",0,IF(L5&lt;=13,60/100,80/100))</f>
        <v>0</v>
      </c>
      <c r="M7" s="348"/>
      <c r="N7" s="183">
        <f>IF(N4="",0,IF(N5&lt;=13,60/100,80/100))</f>
        <v>0</v>
      </c>
      <c r="O7" s="35"/>
      <c r="P7" s="35"/>
      <c r="Q7" s="35"/>
      <c r="R7" s="35"/>
      <c r="S7" s="35"/>
      <c r="T7" s="35"/>
      <c r="U7" s="223"/>
    </row>
    <row r="8" spans="1:21" ht="12.75">
      <c r="A8" s="223"/>
      <c r="B8" s="304" t="s">
        <v>431</v>
      </c>
      <c r="C8" s="5"/>
      <c r="D8" s="87"/>
      <c r="E8" s="343"/>
      <c r="F8" s="269">
        <f>F7*'ALG II'!I6</f>
        <v>0</v>
      </c>
      <c r="G8" s="349"/>
      <c r="H8" s="269">
        <f>H7*'ALG II'!I6</f>
        <v>0</v>
      </c>
      <c r="I8" s="349"/>
      <c r="J8" s="269">
        <f>J7*'ALG II'!I6</f>
        <v>0</v>
      </c>
      <c r="K8" s="349"/>
      <c r="L8" s="269">
        <f>L7*'ALG II'!I6</f>
        <v>0</v>
      </c>
      <c r="M8" s="349"/>
      <c r="N8" s="269">
        <f>N7*'ALG II'!I6</f>
        <v>0</v>
      </c>
      <c r="O8" s="35"/>
      <c r="P8" s="35"/>
      <c r="Q8" s="35"/>
      <c r="R8" s="35"/>
      <c r="S8" s="35"/>
      <c r="T8" s="35"/>
      <c r="U8" s="223"/>
    </row>
    <row r="9" spans="1:21" ht="12.75">
      <c r="A9" s="223"/>
      <c r="B9" s="223"/>
      <c r="C9" s="223"/>
      <c r="D9" s="341"/>
      <c r="E9" s="341"/>
      <c r="F9" s="346"/>
      <c r="G9" s="346"/>
      <c r="H9" s="346"/>
      <c r="I9" s="346"/>
      <c r="J9" s="346"/>
      <c r="K9" s="346"/>
      <c r="L9" s="346"/>
      <c r="M9" s="346"/>
      <c r="N9" s="346"/>
      <c r="O9" s="35"/>
      <c r="P9" s="35"/>
      <c r="Q9" s="35"/>
      <c r="R9" s="35"/>
      <c r="S9" s="35"/>
      <c r="T9" s="35"/>
      <c r="U9" s="223"/>
    </row>
    <row r="10" spans="1:21" ht="12.75">
      <c r="A10" s="333" t="s">
        <v>122</v>
      </c>
      <c r="B10" s="25" t="s">
        <v>126</v>
      </c>
      <c r="C10" s="5"/>
      <c r="D10" s="8"/>
      <c r="E10" s="228"/>
      <c r="F10" s="8"/>
      <c r="G10" s="228"/>
      <c r="H10" s="8"/>
      <c r="I10" s="228"/>
      <c r="J10" s="8"/>
      <c r="K10" s="228"/>
      <c r="L10" s="8"/>
      <c r="M10" s="228"/>
      <c r="N10" s="8"/>
      <c r="O10" s="35"/>
      <c r="P10" s="35"/>
      <c r="Q10" s="35"/>
      <c r="R10" s="35"/>
      <c r="S10" s="35"/>
      <c r="T10" s="35"/>
      <c r="U10" s="223"/>
    </row>
    <row r="11" spans="1:21" ht="12.75">
      <c r="A11" s="223"/>
      <c r="B11" s="36" t="s">
        <v>430</v>
      </c>
      <c r="C11" s="5"/>
      <c r="D11" s="87"/>
      <c r="E11" s="171"/>
      <c r="F11" s="269">
        <f>IF(O11,ROUND(F8*35/100,0),0)</f>
        <v>0</v>
      </c>
      <c r="G11" s="120"/>
      <c r="H11" s="269">
        <f>IF(P11,ROUND(H8*35/100,0),0)</f>
        <v>0</v>
      </c>
      <c r="I11" s="120"/>
      <c r="J11" s="269">
        <f>IF(Q11,ROUND(J8*35/100,0),0)</f>
        <v>0</v>
      </c>
      <c r="K11" s="120"/>
      <c r="L11" s="269">
        <f>IF(R11,ROUND(L8*35/100,0),0)</f>
        <v>0</v>
      </c>
      <c r="M11" s="120"/>
      <c r="N11" s="269">
        <f>IF(S11,ROUND(N8*35/100,0),0)</f>
        <v>0</v>
      </c>
      <c r="O11" s="35" t="b">
        <v>0</v>
      </c>
      <c r="P11" s="35" t="b">
        <v>0</v>
      </c>
      <c r="Q11" s="35" t="b">
        <v>0</v>
      </c>
      <c r="R11" s="35" t="b">
        <v>0</v>
      </c>
      <c r="S11" s="35" t="b">
        <v>0</v>
      </c>
      <c r="T11" s="35"/>
      <c r="U11" s="223"/>
    </row>
    <row r="12" spans="1:21" ht="12.75">
      <c r="A12" s="223"/>
      <c r="B12" s="36" t="s">
        <v>367</v>
      </c>
      <c r="C12" s="5"/>
      <c r="D12" s="87"/>
      <c r="E12" s="341"/>
      <c r="F12" s="121"/>
      <c r="G12" s="346"/>
      <c r="H12" s="121"/>
      <c r="I12" s="346"/>
      <c r="J12" s="121"/>
      <c r="K12" s="346"/>
      <c r="L12" s="121"/>
      <c r="M12" s="346"/>
      <c r="N12" s="121"/>
      <c r="O12" s="35"/>
      <c r="P12" s="35"/>
      <c r="Q12" s="35"/>
      <c r="R12" s="35"/>
      <c r="S12" s="35"/>
      <c r="T12" s="35"/>
      <c r="U12" s="223"/>
    </row>
    <row r="13" spans="1:21" ht="12.75">
      <c r="A13" s="223"/>
      <c r="B13" s="358"/>
      <c r="C13" s="223"/>
      <c r="D13" s="228"/>
      <c r="E13" s="228"/>
      <c r="F13" s="228"/>
      <c r="G13" s="228"/>
      <c r="H13" s="228"/>
      <c r="I13" s="228"/>
      <c r="J13" s="228"/>
      <c r="K13" s="228"/>
      <c r="L13" s="228"/>
      <c r="M13" s="228"/>
      <c r="N13" s="228"/>
      <c r="O13" s="35"/>
      <c r="P13" s="35"/>
      <c r="Q13" s="35"/>
      <c r="R13" s="35"/>
      <c r="S13" s="35"/>
      <c r="T13" s="35"/>
      <c r="U13" s="223"/>
    </row>
    <row r="14" spans="1:21" ht="12.75">
      <c r="A14" s="333" t="s">
        <v>123</v>
      </c>
      <c r="B14" s="37" t="s">
        <v>127</v>
      </c>
      <c r="C14" s="5"/>
      <c r="D14" s="8"/>
      <c r="E14" s="228"/>
      <c r="F14" s="8"/>
      <c r="G14" s="228"/>
      <c r="H14" s="124"/>
      <c r="I14" s="354"/>
      <c r="J14" s="124"/>
      <c r="K14" s="354"/>
      <c r="L14" s="124"/>
      <c r="M14" s="354"/>
      <c r="N14" s="124"/>
      <c r="O14" s="35"/>
      <c r="P14" s="35"/>
      <c r="Q14" s="35"/>
      <c r="R14" s="35"/>
      <c r="S14" s="35"/>
      <c r="T14" s="35"/>
      <c r="U14" s="223"/>
    </row>
    <row r="15" spans="1:21" ht="14.25" customHeight="1">
      <c r="A15" s="223"/>
      <c r="B15" s="59" t="s">
        <v>145</v>
      </c>
      <c r="C15" s="5"/>
      <c r="D15" s="8"/>
      <c r="E15" s="122"/>
      <c r="F15" s="119">
        <f>IF(F4="",0,IF(O15,VLOOKUP(T15,Konfig!A18:H38,8,FALSE),0))</f>
        <v>0</v>
      </c>
      <c r="G15" s="120"/>
      <c r="H15" s="119">
        <f>IF(H4="",0,IF(P15,VLOOKUP(T15,Konfig!A18:H38,8,FALSE),0))</f>
        <v>0</v>
      </c>
      <c r="I15" s="120"/>
      <c r="J15" s="119">
        <f>IF(J4="",0,IF(Q15,VLOOKUP(T15,Konfig!A18:H38,8,FALSE),0))</f>
        <v>0</v>
      </c>
      <c r="K15" s="120"/>
      <c r="L15" s="119">
        <f>IF(L4="",0,IF(R15,VLOOKUP(T15,Konfig!A18:H38,8,FALSE),0))</f>
        <v>0</v>
      </c>
      <c r="M15" s="120"/>
      <c r="N15" s="119">
        <f>IF(N4="",0,IF(S15,VLOOKUP(T15,Konfig!A18:H38,8,FALSE),0))</f>
        <v>0</v>
      </c>
      <c r="O15" s="35" t="b">
        <v>0</v>
      </c>
      <c r="P15" s="35" t="b">
        <v>0</v>
      </c>
      <c r="Q15" s="35" t="b">
        <v>0</v>
      </c>
      <c r="R15" s="35" t="b">
        <v>0</v>
      </c>
      <c r="S15" s="35" t="b">
        <v>0</v>
      </c>
      <c r="T15" s="35">
        <v>1</v>
      </c>
      <c r="U15" s="223"/>
    </row>
    <row r="16" spans="1:21" ht="12.75">
      <c r="A16" s="223"/>
      <c r="B16" s="5"/>
      <c r="C16" s="5"/>
      <c r="D16" s="87"/>
      <c r="E16" s="341"/>
      <c r="F16" s="8"/>
      <c r="G16" s="346"/>
      <c r="H16" s="8"/>
      <c r="I16" s="346"/>
      <c r="J16" s="8"/>
      <c r="K16" s="346"/>
      <c r="L16" s="8"/>
      <c r="M16" s="346"/>
      <c r="N16" s="169"/>
      <c r="O16" s="35"/>
      <c r="P16" s="35"/>
      <c r="Q16" s="35"/>
      <c r="R16" s="35"/>
      <c r="S16" s="35"/>
      <c r="T16" s="35"/>
      <c r="U16" s="223"/>
    </row>
    <row r="17" spans="1:21" ht="14.25" customHeight="1">
      <c r="A17" s="223"/>
      <c r="B17" s="59" t="s">
        <v>145</v>
      </c>
      <c r="C17" s="5"/>
      <c r="D17" s="8"/>
      <c r="E17" s="122"/>
      <c r="F17" s="119">
        <f>IF(F4="",0,IF(O17,VLOOKUP(T17,Konfig!A18:H38,8,FALSE),0))</f>
        <v>0</v>
      </c>
      <c r="G17" s="122"/>
      <c r="H17" s="119">
        <f>IF(H4="",0,IF(P17,VLOOKUP(T17,Konfig!A18:H38,8,FALSE),0))</f>
        <v>0</v>
      </c>
      <c r="I17" s="122"/>
      <c r="J17" s="119">
        <f>IF(J4="",0,IF(Q17,VLOOKUP(T17,Konfig!A18:H38,8,FALSE),0))</f>
        <v>0</v>
      </c>
      <c r="K17" s="122"/>
      <c r="L17" s="119">
        <f>IF(L4="",0,IF(R17,VLOOKUP(T17,Konfig!A18:H38,8,FALSE),0))</f>
        <v>0</v>
      </c>
      <c r="M17" s="122"/>
      <c r="N17" s="119">
        <f>IF(N4="",0,IF(S17,VLOOKUP(T17,Konfig!A18:H38,8,FALSE),0))</f>
        <v>0</v>
      </c>
      <c r="O17" s="35" t="b">
        <v>0</v>
      </c>
      <c r="P17" s="35" t="b">
        <v>0</v>
      </c>
      <c r="Q17" s="35" t="b">
        <v>0</v>
      </c>
      <c r="R17" s="35" t="b">
        <v>0</v>
      </c>
      <c r="S17" s="35" t="b">
        <v>0</v>
      </c>
      <c r="T17" s="35">
        <v>1</v>
      </c>
      <c r="U17" s="223"/>
    </row>
    <row r="18" spans="1:21" ht="12.75">
      <c r="A18" s="223"/>
      <c r="B18" s="5"/>
      <c r="C18" s="5"/>
      <c r="D18" s="87"/>
      <c r="E18" s="341"/>
      <c r="F18" s="8"/>
      <c r="G18" s="349"/>
      <c r="H18" s="8"/>
      <c r="I18" s="349"/>
      <c r="J18" s="8"/>
      <c r="K18" s="349"/>
      <c r="L18" s="8"/>
      <c r="M18" s="349"/>
      <c r="N18" s="169"/>
      <c r="O18" s="35"/>
      <c r="P18" s="35"/>
      <c r="Q18" s="35"/>
      <c r="R18" s="35"/>
      <c r="S18" s="35"/>
      <c r="T18" s="35"/>
      <c r="U18" s="223"/>
    </row>
    <row r="19" spans="1:21" ht="12.75">
      <c r="A19" s="223"/>
      <c r="B19" s="223"/>
      <c r="C19" s="223"/>
      <c r="D19" s="228"/>
      <c r="E19" s="228"/>
      <c r="F19" s="228"/>
      <c r="G19" s="228"/>
      <c r="H19" s="228"/>
      <c r="I19" s="228"/>
      <c r="J19" s="228"/>
      <c r="K19" s="228"/>
      <c r="L19" s="228"/>
      <c r="M19" s="228"/>
      <c r="N19" s="359"/>
      <c r="O19" s="35"/>
      <c r="P19" s="35"/>
      <c r="Q19" s="35"/>
      <c r="R19" s="35"/>
      <c r="S19" s="35"/>
      <c r="T19" s="35"/>
      <c r="U19" s="223"/>
    </row>
    <row r="20" spans="1:21" ht="12.75">
      <c r="A20" s="333" t="s">
        <v>125</v>
      </c>
      <c r="B20" s="25" t="s">
        <v>124</v>
      </c>
      <c r="C20" s="32"/>
      <c r="D20" s="8"/>
      <c r="E20" s="228"/>
      <c r="F20" s="8"/>
      <c r="G20" s="228"/>
      <c r="H20" s="8"/>
      <c r="I20" s="228"/>
      <c r="J20" s="8"/>
      <c r="K20" s="228"/>
      <c r="L20" s="8"/>
      <c r="M20" s="228"/>
      <c r="N20" s="169"/>
      <c r="O20" s="35"/>
      <c r="P20" s="35"/>
      <c r="Q20" s="35"/>
      <c r="R20" s="35"/>
      <c r="S20" s="35"/>
      <c r="T20" s="35"/>
      <c r="U20" s="223"/>
    </row>
    <row r="21" spans="1:21" ht="12.75">
      <c r="A21" s="223"/>
      <c r="B21" s="5" t="s">
        <v>449</v>
      </c>
      <c r="C21" s="5"/>
      <c r="D21" s="87"/>
      <c r="E21" s="341"/>
      <c r="F21" s="119">
        <f>IF(F7=0,0,'ALG II'!M67)</f>
        <v>0</v>
      </c>
      <c r="G21" s="349"/>
      <c r="H21" s="119">
        <f>IF(H7=0,0,'ALG II'!M67)</f>
        <v>0</v>
      </c>
      <c r="I21" s="349"/>
      <c r="J21" s="119">
        <f>IF(J7=0,0,'ALG II'!M67)</f>
        <v>0</v>
      </c>
      <c r="K21" s="349"/>
      <c r="L21" s="119">
        <f>IF(L7=0,0,'ALG II'!M67)</f>
        <v>0</v>
      </c>
      <c r="M21" s="349"/>
      <c r="N21" s="119">
        <f>IF(N7=0,0,'ALG II'!M67)</f>
        <v>0</v>
      </c>
      <c r="O21" s="35"/>
      <c r="P21" s="35"/>
      <c r="Q21" s="35"/>
      <c r="R21" s="35"/>
      <c r="S21" s="35"/>
      <c r="T21" s="35"/>
      <c r="U21" s="223"/>
    </row>
    <row r="22" spans="1:21" ht="12.75">
      <c r="A22" s="223"/>
      <c r="B22" s="223"/>
      <c r="C22" s="223"/>
      <c r="D22" s="228"/>
      <c r="E22" s="228"/>
      <c r="F22" s="228"/>
      <c r="G22" s="228"/>
      <c r="H22" s="228"/>
      <c r="I22" s="228"/>
      <c r="J22" s="228"/>
      <c r="K22" s="228"/>
      <c r="L22" s="228"/>
      <c r="M22" s="228"/>
      <c r="N22" s="359"/>
      <c r="O22" s="38"/>
      <c r="P22" s="38"/>
      <c r="Q22" s="38"/>
      <c r="R22" s="38"/>
      <c r="S22" s="38"/>
      <c r="T22" s="38"/>
      <c r="U22" s="223"/>
    </row>
    <row r="23" spans="1:21" ht="12.75">
      <c r="A23" s="333" t="s">
        <v>35</v>
      </c>
      <c r="B23" s="37" t="s">
        <v>157</v>
      </c>
      <c r="C23" s="5"/>
      <c r="D23" s="8"/>
      <c r="E23" s="344"/>
      <c r="F23" s="114"/>
      <c r="G23" s="350"/>
      <c r="H23" s="123"/>
      <c r="I23" s="355"/>
      <c r="J23" s="170"/>
      <c r="K23" s="355"/>
      <c r="L23" s="143"/>
      <c r="M23" s="357"/>
      <c r="N23" s="169"/>
      <c r="O23" s="38"/>
      <c r="P23" s="38"/>
      <c r="Q23" s="38"/>
      <c r="R23" s="38"/>
      <c r="S23" s="38"/>
      <c r="T23" s="38"/>
      <c r="U23" s="223"/>
    </row>
    <row r="24" spans="1:21" ht="12.75">
      <c r="A24" s="223"/>
      <c r="B24" s="5"/>
      <c r="C24" s="5"/>
      <c r="D24" s="8"/>
      <c r="E24" s="344"/>
      <c r="F24" s="170"/>
      <c r="G24" s="351"/>
      <c r="H24" s="46"/>
      <c r="I24" s="351"/>
      <c r="J24" s="46"/>
      <c r="K24" s="351"/>
      <c r="L24" s="46"/>
      <c r="M24" s="351"/>
      <c r="N24" s="169"/>
      <c r="O24" s="38"/>
      <c r="P24" s="38"/>
      <c r="Q24" s="38"/>
      <c r="R24" s="38"/>
      <c r="S24" s="38"/>
      <c r="T24" s="38"/>
      <c r="U24" s="223"/>
    </row>
    <row r="25" spans="1:21" ht="12.75">
      <c r="A25" s="223"/>
      <c r="B25" s="113" t="s">
        <v>170</v>
      </c>
      <c r="C25" s="8"/>
      <c r="D25" s="8"/>
      <c r="E25" s="344"/>
      <c r="F25" s="112"/>
      <c r="G25" s="352"/>
      <c r="H25" s="115"/>
      <c r="I25" s="356"/>
      <c r="J25" s="111"/>
      <c r="K25" s="337"/>
      <c r="L25" s="111"/>
      <c r="M25" s="337"/>
      <c r="N25" s="169"/>
      <c r="O25" s="38"/>
      <c r="P25" s="38"/>
      <c r="Q25" s="38"/>
      <c r="R25" s="38"/>
      <c r="S25" s="38"/>
      <c r="T25" s="38"/>
      <c r="U25" s="223"/>
    </row>
    <row r="26" spans="1:21" ht="12.75">
      <c r="A26" s="223"/>
      <c r="B26" s="116" t="s">
        <v>153</v>
      </c>
      <c r="C26" s="117"/>
      <c r="D26" s="117"/>
      <c r="E26" s="344"/>
      <c r="F26" s="18">
        <v>0</v>
      </c>
      <c r="G26" s="351"/>
      <c r="H26" s="18"/>
      <c r="I26" s="353"/>
      <c r="J26" s="18"/>
      <c r="K26" s="353"/>
      <c r="L26" s="18"/>
      <c r="M26" s="353"/>
      <c r="N26" s="18"/>
      <c r="O26" s="38"/>
      <c r="P26" s="38"/>
      <c r="Q26" s="38"/>
      <c r="R26" s="38"/>
      <c r="S26" s="38"/>
      <c r="T26" s="38"/>
      <c r="U26" s="223"/>
    </row>
    <row r="27" spans="1:21" ht="12.75">
      <c r="A27" s="223"/>
      <c r="B27" s="116" t="s">
        <v>154</v>
      </c>
      <c r="C27" s="117"/>
      <c r="D27" s="117"/>
      <c r="E27" s="344"/>
      <c r="F27" s="18"/>
      <c r="G27" s="351"/>
      <c r="H27" s="18"/>
      <c r="I27" s="353"/>
      <c r="J27" s="18"/>
      <c r="K27" s="353"/>
      <c r="L27" s="18"/>
      <c r="M27" s="353"/>
      <c r="N27" s="18"/>
      <c r="O27" s="38"/>
      <c r="P27" s="38"/>
      <c r="Q27" s="38"/>
      <c r="R27" s="38"/>
      <c r="S27" s="38"/>
      <c r="T27" s="38"/>
      <c r="U27" s="223"/>
    </row>
    <row r="28" spans="1:21" ht="12.75">
      <c r="A28" s="223"/>
      <c r="B28" s="116" t="s">
        <v>156</v>
      </c>
      <c r="C28" s="117"/>
      <c r="D28" s="117"/>
      <c r="E28" s="344"/>
      <c r="F28" s="18"/>
      <c r="G28" s="351"/>
      <c r="H28" s="18"/>
      <c r="I28" s="353"/>
      <c r="J28" s="18"/>
      <c r="K28" s="353"/>
      <c r="L28" s="18"/>
      <c r="M28" s="353"/>
      <c r="N28" s="18"/>
      <c r="O28" s="38"/>
      <c r="P28" s="38"/>
      <c r="Q28" s="38"/>
      <c r="R28" s="38"/>
      <c r="S28" s="38"/>
      <c r="T28" s="38"/>
      <c r="U28" s="223"/>
    </row>
    <row r="29" spans="1:21" ht="12.75">
      <c r="A29" s="223"/>
      <c r="B29" s="116" t="s">
        <v>155</v>
      </c>
      <c r="C29" s="117"/>
      <c r="D29" s="117"/>
      <c r="E29" s="344"/>
      <c r="F29" s="18"/>
      <c r="G29" s="351"/>
      <c r="H29" s="18"/>
      <c r="I29" s="353"/>
      <c r="J29" s="18"/>
      <c r="K29" s="353"/>
      <c r="L29" s="18"/>
      <c r="M29" s="353"/>
      <c r="N29" s="18"/>
      <c r="O29" s="38"/>
      <c r="P29" s="38"/>
      <c r="Q29" s="38"/>
      <c r="R29" s="38"/>
      <c r="S29" s="38"/>
      <c r="T29" s="38"/>
      <c r="U29" s="223"/>
    </row>
    <row r="30" spans="1:21" ht="12.75">
      <c r="A30" s="223"/>
      <c r="B30" s="5"/>
      <c r="C30" s="5"/>
      <c r="D30" s="73" t="s">
        <v>23</v>
      </c>
      <c r="E30" s="345"/>
      <c r="F30" s="192">
        <f>SUM(F26:F29)</f>
        <v>0</v>
      </c>
      <c r="G30" s="353"/>
      <c r="H30" s="192">
        <f>SUM(H26:H29)</f>
        <v>0</v>
      </c>
      <c r="I30" s="353"/>
      <c r="J30" s="192">
        <f>SUM(J26:J29)</f>
        <v>0</v>
      </c>
      <c r="K30" s="353"/>
      <c r="L30" s="192">
        <f>SUM(L26:L29)</f>
        <v>0</v>
      </c>
      <c r="M30" s="353"/>
      <c r="N30" s="192">
        <f>SUM(N26:N29)</f>
        <v>0</v>
      </c>
      <c r="O30" s="38"/>
      <c r="P30" s="38"/>
      <c r="Q30" s="38"/>
      <c r="R30" s="38"/>
      <c r="S30" s="38"/>
      <c r="T30" s="38"/>
      <c r="U30" s="223"/>
    </row>
    <row r="31" spans="1:21" ht="12.75">
      <c r="A31" s="223"/>
      <c r="B31" s="223"/>
      <c r="C31" s="223"/>
      <c r="D31" s="223"/>
      <c r="E31" s="223"/>
      <c r="F31" s="223"/>
      <c r="G31" s="223"/>
      <c r="H31" s="223"/>
      <c r="I31" s="223"/>
      <c r="J31" s="223"/>
      <c r="K31" s="223"/>
      <c r="L31" s="223"/>
      <c r="M31" s="223"/>
      <c r="N31" s="225"/>
      <c r="O31" s="38"/>
      <c r="P31" s="38"/>
      <c r="Q31" s="38"/>
      <c r="R31" s="38"/>
      <c r="S31" s="38"/>
      <c r="T31" s="38"/>
      <c r="U31" s="223"/>
    </row>
    <row r="32" spans="1:21" ht="12.75">
      <c r="A32" s="223"/>
      <c r="B32" s="223"/>
      <c r="C32" s="223"/>
      <c r="D32" s="223"/>
      <c r="E32" s="223"/>
      <c r="F32" s="223"/>
      <c r="G32" s="223"/>
      <c r="H32" s="223"/>
      <c r="I32" s="223"/>
      <c r="J32" s="223"/>
      <c r="K32" s="310" t="s">
        <v>368</v>
      </c>
      <c r="L32" s="223"/>
      <c r="M32" s="223"/>
      <c r="N32" s="225"/>
      <c r="O32" s="38"/>
      <c r="P32" s="38"/>
      <c r="Q32" s="38"/>
      <c r="R32" s="38"/>
      <c r="S32" s="38"/>
      <c r="T32" s="38"/>
      <c r="U32" s="223"/>
    </row>
    <row r="33" spans="1:21" ht="12.75">
      <c r="A33" s="223"/>
      <c r="B33" s="223"/>
      <c r="C33" s="223"/>
      <c r="D33" s="223"/>
      <c r="E33" s="223"/>
      <c r="F33" s="223"/>
      <c r="G33" s="223"/>
      <c r="H33" s="223"/>
      <c r="I33" s="223"/>
      <c r="J33" s="223"/>
      <c r="K33" s="223"/>
      <c r="L33" s="223"/>
      <c r="M33" s="223"/>
      <c r="N33" s="225"/>
      <c r="O33" s="38"/>
      <c r="P33" s="38"/>
      <c r="Q33" s="38"/>
      <c r="R33" s="38"/>
      <c r="S33" s="38"/>
      <c r="T33" s="38"/>
      <c r="U33" s="223"/>
    </row>
    <row r="34" spans="1:21" ht="12.75" hidden="1">
      <c r="A34" s="223"/>
      <c r="B34" s="223"/>
      <c r="C34" s="223"/>
      <c r="D34" s="223"/>
      <c r="E34" s="223"/>
      <c r="F34" s="223"/>
      <c r="G34" s="223"/>
      <c r="H34" s="223"/>
      <c r="I34" s="223"/>
      <c r="J34" s="223"/>
      <c r="K34" s="223"/>
      <c r="L34" s="223"/>
      <c r="M34" s="223"/>
      <c r="N34" s="225"/>
      <c r="O34" s="38"/>
      <c r="P34" s="38"/>
      <c r="Q34" s="38"/>
      <c r="R34" s="38"/>
      <c r="S34" s="38"/>
      <c r="T34" s="38"/>
      <c r="U34" s="223"/>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sheetData>
  <sheetProtection password="C724" sheet="1" objects="1" scenarios="1"/>
  <printOptions/>
  <pageMargins left="0.7874015748031497" right="0.1968503937007874" top="0.984251968503937" bottom="0.984251968503937" header="0.3937007874015748" footer="0"/>
  <pageSetup blackAndWhite="1" horizontalDpi="600" verticalDpi="600" orientation="portrait" paperSize="9" scale="82" r:id="rId4"/>
  <headerFooter alignWithMargins="0">
    <oddHeader>&amp;L&amp;"Arial,Fett"&amp;8NUTZUNG OHNE GEWÄHR&amp;C&amp;"Arial,Fett"&amp;8&amp;F&amp;R&amp;"Arial,Fett"&amp;8http://www.ArbeitslosengeldII.&amp;"Arial,Standard"&amp;10de</oddHeader>
  </headerFooter>
  <colBreaks count="1" manualBreakCount="1">
    <brk id="13"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Tabelle3"/>
  <dimension ref="A1:M105"/>
  <sheetViews>
    <sheetView showGridLines="0" showRowColHeaders="0" workbookViewId="0" topLeftCell="A52">
      <selection activeCell="A1" sqref="A1"/>
    </sheetView>
  </sheetViews>
  <sheetFormatPr defaultColWidth="11.421875" defaultRowHeight="12.75" zeroHeight="1"/>
  <cols>
    <col min="1" max="1" width="2.00390625" style="50" customWidth="1"/>
    <col min="2" max="2" width="25.421875" style="50" customWidth="1"/>
    <col min="3" max="11" width="12.57421875" style="50" customWidth="1"/>
    <col min="12" max="12" width="2.7109375" style="240" customWidth="1"/>
    <col min="13" max="21" width="8.7109375" style="240" hidden="1" customWidth="1"/>
    <col min="22" max="16384" width="0" style="50" hidden="1" customWidth="1"/>
  </cols>
  <sheetData>
    <row r="1" spans="1:12" ht="15.75">
      <c r="A1" s="223"/>
      <c r="B1" s="365" t="s">
        <v>62</v>
      </c>
      <c r="C1" s="321"/>
      <c r="D1" s="321"/>
      <c r="E1" s="321"/>
      <c r="F1" s="321"/>
      <c r="G1" s="321"/>
      <c r="H1" s="321"/>
      <c r="I1" s="321"/>
      <c r="J1" s="321"/>
      <c r="K1" s="321"/>
      <c r="L1" s="226"/>
    </row>
    <row r="2" spans="1:12" ht="12.75">
      <c r="A2" s="223"/>
      <c r="B2" s="366"/>
      <c r="C2" s="367"/>
      <c r="D2" s="367"/>
      <c r="E2" s="367"/>
      <c r="F2" s="367"/>
      <c r="G2" s="223"/>
      <c r="H2" s="223"/>
      <c r="I2" s="223"/>
      <c r="J2" s="223"/>
      <c r="K2" s="223"/>
      <c r="L2" s="226"/>
    </row>
    <row r="3" spans="1:12" ht="12.75">
      <c r="A3" s="223"/>
      <c r="B3" s="368" t="s">
        <v>260</v>
      </c>
      <c r="C3" s="369" t="s">
        <v>0</v>
      </c>
      <c r="D3" s="369" t="s">
        <v>151</v>
      </c>
      <c r="E3" s="369" t="s">
        <v>402</v>
      </c>
      <c r="F3" s="369" t="s">
        <v>402</v>
      </c>
      <c r="G3" s="369" t="s">
        <v>241</v>
      </c>
      <c r="H3" s="369" t="s">
        <v>241</v>
      </c>
      <c r="I3" s="369" t="s">
        <v>241</v>
      </c>
      <c r="J3" s="369" t="s">
        <v>241</v>
      </c>
      <c r="K3" s="369" t="s">
        <v>241</v>
      </c>
      <c r="L3" s="226"/>
    </row>
    <row r="4" spans="1:12" ht="12.75">
      <c r="A4" s="223"/>
      <c r="B4" s="370" t="s">
        <v>479</v>
      </c>
      <c r="C4" s="250">
        <f>IF(Daten!C13="","",Daten!C13)</f>
      </c>
      <c r="D4" s="250">
        <f>IF(Daten!D13="","",Daten!D13)</f>
      </c>
      <c r="E4" s="250">
        <f>IF(Daten!E13="","",Daten!E13)</f>
      </c>
      <c r="F4" s="250">
        <f>IF(Daten!F13="","",Daten!F13)</f>
      </c>
      <c r="G4" s="250">
        <f>IF(Daten!G13="","",Daten!G13)</f>
      </c>
      <c r="H4" s="250">
        <f>IF(Daten!H13="","",Daten!H13)</f>
      </c>
      <c r="I4" s="250">
        <f>IF(Daten!I13="","",Daten!I13)</f>
      </c>
      <c r="J4" s="250">
        <f>IF(Daten!J13="","",Daten!J13)</f>
      </c>
      <c r="K4" s="250">
        <f>IF(Daten!K13="","",Daten!K13)</f>
      </c>
      <c r="L4" s="226"/>
    </row>
    <row r="5" spans="1:12" ht="12.75">
      <c r="A5" s="223"/>
      <c r="B5" s="19" t="s">
        <v>469</v>
      </c>
      <c r="C5" s="18"/>
      <c r="D5" s="18"/>
      <c r="E5" s="18"/>
      <c r="F5" s="18"/>
      <c r="G5" s="18"/>
      <c r="H5" s="18"/>
      <c r="I5" s="18"/>
      <c r="J5" s="18"/>
      <c r="K5" s="18"/>
      <c r="L5" s="226"/>
    </row>
    <row r="6" spans="1:12" ht="12.75">
      <c r="A6" s="223"/>
      <c r="B6" s="554" t="s">
        <v>477</v>
      </c>
      <c r="C6" s="18"/>
      <c r="D6" s="18"/>
      <c r="E6" s="18"/>
      <c r="F6" s="18"/>
      <c r="G6" s="18"/>
      <c r="H6" s="18"/>
      <c r="I6" s="18"/>
      <c r="J6" s="18"/>
      <c r="K6" s="18"/>
      <c r="L6" s="226"/>
    </row>
    <row r="7" spans="1:12" ht="12.75">
      <c r="A7" s="223"/>
      <c r="B7" s="19" t="s">
        <v>213</v>
      </c>
      <c r="C7" s="141"/>
      <c r="D7" s="18"/>
      <c r="E7" s="18"/>
      <c r="F7" s="18"/>
      <c r="G7" s="18"/>
      <c r="H7" s="18"/>
      <c r="I7" s="18"/>
      <c r="J7" s="18"/>
      <c r="K7" s="18"/>
      <c r="L7" s="226"/>
    </row>
    <row r="8" spans="1:12" ht="12.75">
      <c r="A8" s="223"/>
      <c r="B8" s="19" t="s">
        <v>428</v>
      </c>
      <c r="C8" s="18"/>
      <c r="D8" s="18"/>
      <c r="E8" s="236"/>
      <c r="F8" s="236"/>
      <c r="G8" s="236"/>
      <c r="H8" s="236"/>
      <c r="I8" s="236"/>
      <c r="J8" s="236"/>
      <c r="K8" s="236"/>
      <c r="L8" s="226"/>
    </row>
    <row r="9" spans="1:12" ht="12.75">
      <c r="A9" s="223"/>
      <c r="B9" s="19" t="s">
        <v>171</v>
      </c>
      <c r="C9" s="18"/>
      <c r="D9" s="18"/>
      <c r="E9" s="536"/>
      <c r="F9" s="537"/>
      <c r="G9" s="537"/>
      <c r="H9" s="537"/>
      <c r="I9" s="537"/>
      <c r="J9" s="537"/>
      <c r="K9" s="537"/>
      <c r="L9" s="226"/>
    </row>
    <row r="10" spans="1:12" ht="12.75">
      <c r="A10" s="223"/>
      <c r="B10" s="19" t="s">
        <v>63</v>
      </c>
      <c r="C10" s="18"/>
      <c r="D10" s="18"/>
      <c r="E10" s="18"/>
      <c r="F10" s="18"/>
      <c r="G10" s="18"/>
      <c r="H10" s="18"/>
      <c r="I10" s="18"/>
      <c r="J10" s="18"/>
      <c r="K10" s="18"/>
      <c r="L10" s="226"/>
    </row>
    <row r="11" spans="1:12" ht="12.75">
      <c r="A11" s="223"/>
      <c r="B11" s="19" t="s">
        <v>64</v>
      </c>
      <c r="C11" s="18"/>
      <c r="D11" s="18"/>
      <c r="E11" s="18"/>
      <c r="F11" s="18"/>
      <c r="G11" s="18"/>
      <c r="H11" s="18"/>
      <c r="I11" s="18"/>
      <c r="J11" s="18"/>
      <c r="K11" s="18"/>
      <c r="L11" s="226"/>
    </row>
    <row r="12" spans="1:12" ht="12.75">
      <c r="A12" s="223"/>
      <c r="B12" s="19" t="s">
        <v>478</v>
      </c>
      <c r="C12" s="18"/>
      <c r="D12" s="18"/>
      <c r="E12" s="18"/>
      <c r="F12" s="18"/>
      <c r="G12" s="18"/>
      <c r="H12" s="18"/>
      <c r="I12" s="18"/>
      <c r="J12" s="18"/>
      <c r="K12" s="18"/>
      <c r="L12" s="226"/>
    </row>
    <row r="13" spans="1:12" ht="12.75">
      <c r="A13" s="223"/>
      <c r="B13" s="19" t="s">
        <v>476</v>
      </c>
      <c r="C13" s="18"/>
      <c r="D13" s="18"/>
      <c r="E13" s="18"/>
      <c r="F13" s="18"/>
      <c r="G13" s="18"/>
      <c r="H13" s="18"/>
      <c r="I13" s="18"/>
      <c r="J13" s="18"/>
      <c r="K13" s="18"/>
      <c r="L13" s="226"/>
    </row>
    <row r="14" spans="1:12" ht="12.75">
      <c r="A14" s="223"/>
      <c r="B14" s="19" t="s">
        <v>65</v>
      </c>
      <c r="C14" s="18"/>
      <c r="D14" s="18"/>
      <c r="E14" s="18"/>
      <c r="F14" s="18"/>
      <c r="G14" s="18"/>
      <c r="H14" s="18"/>
      <c r="I14" s="18"/>
      <c r="J14" s="18"/>
      <c r="K14" s="18"/>
      <c r="L14" s="226"/>
    </row>
    <row r="15" spans="1:12" ht="12.75">
      <c r="A15" s="223"/>
      <c r="B15" s="553" t="s">
        <v>475</v>
      </c>
      <c r="C15" s="552"/>
      <c r="D15" s="552"/>
      <c r="E15" s="552"/>
      <c r="F15" s="552"/>
      <c r="G15" s="552"/>
      <c r="H15" s="552"/>
      <c r="I15" s="552"/>
      <c r="J15" s="552"/>
      <c r="K15" s="552"/>
      <c r="L15" s="226"/>
    </row>
    <row r="16" spans="1:12" ht="12.75">
      <c r="A16" s="223"/>
      <c r="B16" s="535" t="s">
        <v>61</v>
      </c>
      <c r="C16" s="382"/>
      <c r="D16" s="382"/>
      <c r="E16" s="382"/>
      <c r="F16" s="382"/>
      <c r="G16" s="383"/>
      <c r="H16" s="383"/>
      <c r="I16" s="383"/>
      <c r="J16" s="383"/>
      <c r="K16" s="383"/>
      <c r="L16" s="226"/>
    </row>
    <row r="17" spans="1:12" ht="12.75">
      <c r="A17" s="223"/>
      <c r="B17" s="40"/>
      <c r="C17" s="18"/>
      <c r="D17" s="18"/>
      <c r="E17" s="18"/>
      <c r="F17" s="18"/>
      <c r="G17" s="18"/>
      <c r="H17" s="18"/>
      <c r="I17" s="18"/>
      <c r="J17" s="18"/>
      <c r="K17" s="18"/>
      <c r="L17" s="226"/>
    </row>
    <row r="18" spans="1:12" ht="12.75">
      <c r="A18" s="223"/>
      <c r="B18" s="40"/>
      <c r="C18" s="18"/>
      <c r="D18" s="18"/>
      <c r="E18" s="18"/>
      <c r="F18" s="18"/>
      <c r="G18" s="18"/>
      <c r="H18" s="18"/>
      <c r="I18" s="18"/>
      <c r="J18" s="18"/>
      <c r="K18" s="18"/>
      <c r="L18" s="226"/>
    </row>
    <row r="19" spans="1:12" ht="12.75">
      <c r="A19" s="223"/>
      <c r="B19" s="345" t="s">
        <v>460</v>
      </c>
      <c r="C19" s="52">
        <f>SUM(C5:C15,C17:C18)</f>
        <v>0</v>
      </c>
      <c r="D19" s="52">
        <f aca="true" t="shared" si="0" ref="D19:K19">SUM(D5:D15,D17:D18)</f>
        <v>0</v>
      </c>
      <c r="E19" s="52">
        <f t="shared" si="0"/>
        <v>0</v>
      </c>
      <c r="F19" s="52">
        <f t="shared" si="0"/>
        <v>0</v>
      </c>
      <c r="G19" s="52">
        <f t="shared" si="0"/>
        <v>0</v>
      </c>
      <c r="H19" s="52">
        <f t="shared" si="0"/>
        <v>0</v>
      </c>
      <c r="I19" s="52">
        <f t="shared" si="0"/>
        <v>0</v>
      </c>
      <c r="J19" s="52">
        <f t="shared" si="0"/>
        <v>0</v>
      </c>
      <c r="K19" s="52">
        <f t="shared" si="0"/>
        <v>0</v>
      </c>
      <c r="L19" s="226"/>
    </row>
    <row r="20" spans="1:12" ht="12.75">
      <c r="A20" s="223"/>
      <c r="B20" s="345"/>
      <c r="C20" s="223"/>
      <c r="D20" s="223"/>
      <c r="E20" s="223"/>
      <c r="F20" s="223"/>
      <c r="G20" s="223"/>
      <c r="H20" s="223"/>
      <c r="I20" s="223"/>
      <c r="J20" s="223"/>
      <c r="K20" s="223"/>
      <c r="L20" s="226"/>
    </row>
    <row r="21" spans="1:12" ht="12.75">
      <c r="A21" s="223"/>
      <c r="B21" s="371" t="s">
        <v>66</v>
      </c>
      <c r="C21" s="146">
        <f>C4</f>
      </c>
      <c r="D21" s="146">
        <f aca="true" t="shared" si="1" ref="D21:K21">D4</f>
      </c>
      <c r="E21" s="146">
        <f t="shared" si="1"/>
      </c>
      <c r="F21" s="146">
        <f t="shared" si="1"/>
      </c>
      <c r="G21" s="146">
        <f t="shared" si="1"/>
      </c>
      <c r="H21" s="146">
        <f t="shared" si="1"/>
      </c>
      <c r="I21" s="146">
        <f t="shared" si="1"/>
      </c>
      <c r="J21" s="146">
        <f t="shared" si="1"/>
      </c>
      <c r="K21" s="146">
        <f t="shared" si="1"/>
      </c>
      <c r="L21" s="226"/>
    </row>
    <row r="22" spans="1:12" ht="12.75">
      <c r="A22" s="223"/>
      <c r="B22" s="26" t="s">
        <v>209</v>
      </c>
      <c r="C22" s="18"/>
      <c r="D22" s="18"/>
      <c r="E22" s="18"/>
      <c r="F22" s="18"/>
      <c r="G22" s="18"/>
      <c r="H22" s="18"/>
      <c r="I22" s="18"/>
      <c r="J22" s="18"/>
      <c r="K22" s="18"/>
      <c r="L22" s="226"/>
    </row>
    <row r="23" spans="1:12" ht="12.75">
      <c r="A23" s="223"/>
      <c r="B23" s="26" t="s">
        <v>208</v>
      </c>
      <c r="C23" s="18"/>
      <c r="D23" s="18"/>
      <c r="E23" s="18"/>
      <c r="F23" s="18"/>
      <c r="G23" s="18"/>
      <c r="H23" s="18"/>
      <c r="I23" s="18"/>
      <c r="J23" s="18"/>
      <c r="K23" s="18"/>
      <c r="L23" s="226"/>
    </row>
    <row r="24" spans="1:12" ht="12.75">
      <c r="A24" s="223"/>
      <c r="B24" s="19" t="s">
        <v>206</v>
      </c>
      <c r="C24" s="18"/>
      <c r="D24" s="18"/>
      <c r="E24" s="18"/>
      <c r="F24" s="18"/>
      <c r="G24" s="18"/>
      <c r="H24" s="18"/>
      <c r="I24" s="18"/>
      <c r="J24" s="18"/>
      <c r="K24" s="18"/>
      <c r="L24" s="226"/>
    </row>
    <row r="25" spans="1:12" ht="12.75">
      <c r="A25" s="223"/>
      <c r="B25" s="19" t="s">
        <v>207</v>
      </c>
      <c r="C25" s="18"/>
      <c r="D25" s="18"/>
      <c r="E25" s="18"/>
      <c r="F25" s="18"/>
      <c r="G25" s="18"/>
      <c r="H25" s="18"/>
      <c r="I25" s="18"/>
      <c r="J25" s="18"/>
      <c r="K25" s="18"/>
      <c r="L25" s="226"/>
    </row>
    <row r="26" spans="1:12" ht="12.75">
      <c r="A26" s="223"/>
      <c r="B26" s="150" t="s">
        <v>210</v>
      </c>
      <c r="C26" s="18"/>
      <c r="D26" s="18"/>
      <c r="E26" s="18"/>
      <c r="F26" s="18"/>
      <c r="G26" s="18"/>
      <c r="H26" s="18"/>
      <c r="I26" s="18"/>
      <c r="J26" s="18"/>
      <c r="K26" s="18"/>
      <c r="L26" s="226"/>
    </row>
    <row r="27" spans="1:12" ht="12.75">
      <c r="A27" s="223"/>
      <c r="B27" s="150" t="s">
        <v>212</v>
      </c>
      <c r="C27" s="18"/>
      <c r="D27" s="18"/>
      <c r="E27" s="18"/>
      <c r="F27" s="18"/>
      <c r="G27" s="18"/>
      <c r="H27" s="18"/>
      <c r="I27" s="18"/>
      <c r="J27" s="18"/>
      <c r="K27" s="18"/>
      <c r="L27" s="226"/>
    </row>
    <row r="28" spans="1:12" ht="12.75">
      <c r="A28" s="223"/>
      <c r="B28" s="20" t="s">
        <v>480</v>
      </c>
      <c r="C28" s="18"/>
      <c r="D28" s="18">
        <v>0</v>
      </c>
      <c r="E28" s="18"/>
      <c r="F28" s="18"/>
      <c r="G28" s="556"/>
      <c r="H28" s="556"/>
      <c r="I28" s="556"/>
      <c r="J28" s="556"/>
      <c r="K28" s="556"/>
      <c r="L28" s="226"/>
    </row>
    <row r="29" spans="1:12" ht="12.75">
      <c r="A29" s="223"/>
      <c r="B29" s="551" t="s">
        <v>483</v>
      </c>
      <c r="C29" s="141">
        <f>IF(C4="",0,IF(C19=0,0,IF(SUM(Daten!C22:F22)=0,30,IF(Daten!C22=0,0,30))))</f>
        <v>0</v>
      </c>
      <c r="D29" s="141">
        <f>IF(D4="",0,IF(D19=0,0,IF(SUM(Daten!C22:F22)=0,30,IF(Daten!D22=0,0,30))))</f>
        <v>0</v>
      </c>
      <c r="E29" s="141">
        <f>IF(E4="",0,IF(E19=0,0,IF(SUM(Daten!C22:F22)=0,30,IF(Daten!E22=0,0,30))))</f>
        <v>0</v>
      </c>
      <c r="F29" s="141">
        <f>IF(F4="",0,IF(F19=0,0,IF(SUM(Daten!C22:F22)=0,30,IF(Daten!F22=0,0,30))))</f>
        <v>0</v>
      </c>
      <c r="G29" s="556"/>
      <c r="H29" s="556"/>
      <c r="I29" s="556"/>
      <c r="J29" s="556"/>
      <c r="K29" s="556"/>
      <c r="L29" s="226"/>
    </row>
    <row r="30" spans="1:12" ht="12.75">
      <c r="A30" s="223"/>
      <c r="B30" s="26" t="s">
        <v>211</v>
      </c>
      <c r="C30" s="556"/>
      <c r="D30" s="556"/>
      <c r="E30" s="556"/>
      <c r="F30" s="556"/>
      <c r="G30" s="556"/>
      <c r="H30" s="556"/>
      <c r="I30" s="556"/>
      <c r="J30" s="556"/>
      <c r="K30" s="556"/>
      <c r="L30" s="226"/>
    </row>
    <row r="31" spans="1:12" ht="12.75">
      <c r="A31" s="223"/>
      <c r="B31" s="550" t="s">
        <v>470</v>
      </c>
      <c r="C31" s="141">
        <f>IF(C5=0,0,IF(C33&gt;0,0,IF(C5&lt;15.33,C5,15.33)))</f>
        <v>0</v>
      </c>
      <c r="D31" s="141">
        <f>IF(D5=0,0,IF(D33&gt;0,0,IF(D5&lt;15.33,D5,15.33)))</f>
        <v>0</v>
      </c>
      <c r="E31" s="141">
        <f>IF(E5=0,0,IF(E33&gt;0,0,IF(E5&lt;15.33,E5,15.33)))</f>
        <v>0</v>
      </c>
      <c r="F31" s="141">
        <f>IF(F5=0,0,IF(F33&gt;0,0,IF(F5&lt;15.33,F5,15.33)))</f>
        <v>0</v>
      </c>
      <c r="G31" s="556"/>
      <c r="H31" s="556"/>
      <c r="I31" s="556"/>
      <c r="J31" s="556"/>
      <c r="K31" s="556"/>
      <c r="L31" s="226"/>
    </row>
    <row r="32" spans="1:12" ht="12.75">
      <c r="A32" s="223"/>
      <c r="B32" s="550" t="s">
        <v>471</v>
      </c>
      <c r="C32" s="141">
        <f>IF(C33&gt;0,0,C6*30/100)</f>
        <v>0</v>
      </c>
      <c r="D32" s="141">
        <f>IF(D33&gt;0,0,D6*30/100)</f>
        <v>0</v>
      </c>
      <c r="E32" s="141">
        <f>IF(E33&gt;0,0,E6*30/100)</f>
        <v>0</v>
      </c>
      <c r="F32" s="141">
        <f>IF(F33&gt;0,0,F6*30/100)</f>
        <v>0</v>
      </c>
      <c r="G32" s="556"/>
      <c r="H32" s="556"/>
      <c r="I32" s="556"/>
      <c r="J32" s="556"/>
      <c r="K32" s="556"/>
      <c r="L32" s="226"/>
    </row>
    <row r="33" spans="1:12" ht="12.75">
      <c r="A33" s="223"/>
      <c r="B33" s="555" t="s">
        <v>484</v>
      </c>
      <c r="C33" s="18"/>
      <c r="D33" s="18"/>
      <c r="E33" s="18"/>
      <c r="F33" s="18"/>
      <c r="G33" s="556"/>
      <c r="H33" s="556"/>
      <c r="I33" s="556"/>
      <c r="J33" s="556"/>
      <c r="K33" s="556"/>
      <c r="L33" s="226"/>
    </row>
    <row r="34" spans="1:12" ht="12.75">
      <c r="A34" s="223"/>
      <c r="B34" s="550" t="s">
        <v>472</v>
      </c>
      <c r="C34" s="557"/>
      <c r="D34" s="557"/>
      <c r="E34" s="557"/>
      <c r="F34" s="557"/>
      <c r="G34" s="556"/>
      <c r="H34" s="556"/>
      <c r="I34" s="556"/>
      <c r="J34" s="556"/>
      <c r="K34" s="556"/>
      <c r="L34" s="226"/>
    </row>
    <row r="35" spans="1:12" ht="12.75">
      <c r="A35" s="223"/>
      <c r="B35" s="550" t="s">
        <v>473</v>
      </c>
      <c r="C35" s="549"/>
      <c r="D35" s="549"/>
      <c r="E35" s="549"/>
      <c r="F35" s="549"/>
      <c r="G35" s="556"/>
      <c r="H35" s="556"/>
      <c r="I35" s="556"/>
      <c r="J35" s="556"/>
      <c r="K35" s="556"/>
      <c r="L35" s="226"/>
    </row>
    <row r="36" spans="1:12" ht="12.75">
      <c r="A36" s="223"/>
      <c r="B36" s="550" t="s">
        <v>474</v>
      </c>
      <c r="C36" s="141">
        <f>IF(C5+C6=0,0,IF(C37&gt;0,0,C34*C35*0.06))</f>
        <v>0</v>
      </c>
      <c r="D36" s="141">
        <f>IF(D5+D6=0,0,IF(D37&gt;0,0,D34*D35*0.06))</f>
        <v>0</v>
      </c>
      <c r="E36" s="141">
        <f>IF(E5+E6=0,0,IF(E37&gt;0,0,E34*E35*0.06))</f>
        <v>0</v>
      </c>
      <c r="F36" s="141">
        <f>IF(F5+F6=0,0,IF(F37&gt;0,0,F34*F35*0.06))</f>
        <v>0</v>
      </c>
      <c r="G36" s="556"/>
      <c r="H36" s="556"/>
      <c r="I36" s="556"/>
      <c r="J36" s="556"/>
      <c r="K36" s="556"/>
      <c r="L36" s="226"/>
    </row>
    <row r="37" spans="1:12" ht="12.75">
      <c r="A37" s="223"/>
      <c r="B37" s="555" t="s">
        <v>481</v>
      </c>
      <c r="C37" s="18"/>
      <c r="D37" s="18"/>
      <c r="E37" s="18"/>
      <c r="F37" s="18"/>
      <c r="G37" s="556"/>
      <c r="H37" s="556"/>
      <c r="I37" s="556"/>
      <c r="J37" s="556"/>
      <c r="K37" s="556"/>
      <c r="L37" s="226"/>
    </row>
    <row r="38" spans="1:13" ht="12.75">
      <c r="A38" s="223"/>
      <c r="B38" s="26" t="s">
        <v>67</v>
      </c>
      <c r="C38" s="148">
        <f>C74</f>
        <v>0</v>
      </c>
      <c r="D38" s="148">
        <f aca="true" t="shared" si="2" ref="D38:K38">D74</f>
        <v>0</v>
      </c>
      <c r="E38" s="148">
        <f t="shared" si="2"/>
        <v>0</v>
      </c>
      <c r="F38" s="148">
        <f t="shared" si="2"/>
        <v>0</v>
      </c>
      <c r="G38" s="544">
        <f t="shared" si="2"/>
        <v>0</v>
      </c>
      <c r="H38" s="544">
        <f t="shared" si="2"/>
        <v>0</v>
      </c>
      <c r="I38" s="544">
        <f t="shared" si="2"/>
        <v>0</v>
      </c>
      <c r="J38" s="544">
        <f t="shared" si="2"/>
        <v>0</v>
      </c>
      <c r="K38" s="544">
        <f t="shared" si="2"/>
        <v>0</v>
      </c>
      <c r="L38" s="226"/>
      <c r="M38" s="273"/>
    </row>
    <row r="39" spans="1:12" ht="12.75">
      <c r="A39" s="223"/>
      <c r="B39" s="345" t="s">
        <v>68</v>
      </c>
      <c r="C39" s="52">
        <f>SUM(C22:C33,C36:C38)</f>
        <v>0</v>
      </c>
      <c r="D39" s="52">
        <f>SUM(D22:D33,D36:D38)</f>
        <v>0</v>
      </c>
      <c r="E39" s="52">
        <f>SUM(E22:E33,E36:E38)</f>
        <v>0</v>
      </c>
      <c r="F39" s="52">
        <f>SUM(F22:F33,F36:F38)</f>
        <v>0</v>
      </c>
      <c r="G39" s="52">
        <f>SUM(G22:G27)</f>
        <v>0</v>
      </c>
      <c r="H39" s="52">
        <f>SUM(H22:H27)</f>
        <v>0</v>
      </c>
      <c r="I39" s="52">
        <f>SUM(I22:I27)</f>
        <v>0</v>
      </c>
      <c r="J39" s="52">
        <f>SUM(J22:J27)</f>
        <v>0</v>
      </c>
      <c r="K39" s="52">
        <f>SUM(K22:K27)</f>
        <v>0</v>
      </c>
      <c r="L39" s="226"/>
    </row>
    <row r="40" spans="1:12" ht="12.75">
      <c r="A40" s="223"/>
      <c r="B40" s="223"/>
      <c r="C40" s="223"/>
      <c r="D40" s="223"/>
      <c r="E40" s="223"/>
      <c r="F40" s="223"/>
      <c r="G40" s="223"/>
      <c r="H40" s="223"/>
      <c r="I40" s="223"/>
      <c r="J40" s="223"/>
      <c r="K40" s="223"/>
      <c r="L40" s="226"/>
    </row>
    <row r="41" spans="1:12" ht="12.75">
      <c r="A41" s="223"/>
      <c r="B41" s="372" t="s">
        <v>69</v>
      </c>
      <c r="C41" s="548">
        <f aca="true" t="shared" si="3" ref="C41:K41">IF(C4="",0,IF(C19-C39&gt;0,C19-C39,0))</f>
        <v>0</v>
      </c>
      <c r="D41" s="548">
        <f t="shared" si="3"/>
        <v>0</v>
      </c>
      <c r="E41" s="548">
        <f t="shared" si="3"/>
        <v>0</v>
      </c>
      <c r="F41" s="548">
        <f t="shared" si="3"/>
        <v>0</v>
      </c>
      <c r="G41" s="548">
        <f t="shared" si="3"/>
        <v>0</v>
      </c>
      <c r="H41" s="548">
        <f t="shared" si="3"/>
        <v>0</v>
      </c>
      <c r="I41" s="548">
        <f t="shared" si="3"/>
        <v>0</v>
      </c>
      <c r="J41" s="548">
        <f t="shared" si="3"/>
        <v>0</v>
      </c>
      <c r="K41" s="548">
        <f t="shared" si="3"/>
        <v>0</v>
      </c>
      <c r="L41" s="226"/>
    </row>
    <row r="42" spans="1:12" ht="12.75">
      <c r="A42" s="223"/>
      <c r="B42" s="223"/>
      <c r="C42" s="223"/>
      <c r="D42" s="223"/>
      <c r="E42" s="223"/>
      <c r="F42" s="223"/>
      <c r="G42" s="223"/>
      <c r="H42" s="223"/>
      <c r="I42" s="223"/>
      <c r="J42" s="223"/>
      <c r="K42" s="223"/>
      <c r="L42" s="226"/>
    </row>
    <row r="43" spans="1:12" ht="12.75">
      <c r="A43" s="223"/>
      <c r="B43" s="542" t="s">
        <v>462</v>
      </c>
      <c r="C43" s="18"/>
      <c r="D43" s="18"/>
      <c r="E43" s="18"/>
      <c r="F43" s="18"/>
      <c r="G43" s="223"/>
      <c r="H43" s="223"/>
      <c r="I43" s="223"/>
      <c r="J43" s="223"/>
      <c r="K43" s="223"/>
      <c r="L43" s="226"/>
    </row>
    <row r="44" spans="1:12" ht="12.75">
      <c r="A44" s="223"/>
      <c r="B44" s="345" t="s">
        <v>463</v>
      </c>
      <c r="C44" s="223"/>
      <c r="D44" s="223"/>
      <c r="E44" s="223"/>
      <c r="F44" s="223"/>
      <c r="G44" s="223"/>
      <c r="H44" s="223"/>
      <c r="I44" s="223"/>
      <c r="J44" s="223"/>
      <c r="K44" s="223"/>
      <c r="L44" s="226"/>
    </row>
    <row r="45" spans="1:12" ht="12.75">
      <c r="A45" s="223"/>
      <c r="B45" s="372" t="s">
        <v>464</v>
      </c>
      <c r="C45" s="548">
        <f>IF(C4="",0,IF(C41-C43&lt;0,0,C41-C43))</f>
        <v>0</v>
      </c>
      <c r="D45" s="548">
        <f>IF(D4="",0,IF(D41-D43&lt;0,0,D41-D43))</f>
        <v>0</v>
      </c>
      <c r="E45" s="548">
        <f>IF(E4="",0,IF(E41-E43&lt;0,0,E41-E43))</f>
        <v>0</v>
      </c>
      <c r="F45" s="548">
        <f>IF(F4="",0,IF(F41-F43&lt;0,0,F41-F43))</f>
        <v>0</v>
      </c>
      <c r="G45" s="223"/>
      <c r="H45" s="310" t="s">
        <v>368</v>
      </c>
      <c r="I45" s="223"/>
      <c r="J45" s="223"/>
      <c r="K45" s="223"/>
      <c r="L45" s="226"/>
    </row>
    <row r="46" spans="1:12" ht="12.75">
      <c r="A46" s="223"/>
      <c r="B46" s="223"/>
      <c r="C46" s="223"/>
      <c r="D46" s="223"/>
      <c r="E46" s="223"/>
      <c r="F46" s="223"/>
      <c r="G46" s="223"/>
      <c r="H46" s="373"/>
      <c r="I46" s="223"/>
      <c r="J46" s="223"/>
      <c r="K46" s="223"/>
      <c r="L46" s="226"/>
    </row>
    <row r="47" spans="1:12" ht="12.75">
      <c r="A47" s="223"/>
      <c r="B47" s="223"/>
      <c r="C47" s="311"/>
      <c r="D47" s="223"/>
      <c r="E47" s="223"/>
      <c r="F47" s="223"/>
      <c r="G47" s="223"/>
      <c r="H47" s="310" t="s">
        <v>369</v>
      </c>
      <c r="I47" s="223"/>
      <c r="J47" s="223"/>
      <c r="K47" s="223"/>
      <c r="L47" s="226"/>
    </row>
    <row r="48" spans="1:12" ht="12.75">
      <c r="A48" s="223"/>
      <c r="B48" s="223"/>
      <c r="C48" s="223"/>
      <c r="D48" s="223"/>
      <c r="E48" s="223"/>
      <c r="F48" s="223"/>
      <c r="G48" s="223"/>
      <c r="H48" s="373"/>
      <c r="I48" s="223"/>
      <c r="J48" s="223"/>
      <c r="K48" s="223"/>
      <c r="L48" s="226"/>
    </row>
    <row r="49" spans="1:12" ht="12.75">
      <c r="A49" s="223"/>
      <c r="B49" s="223"/>
      <c r="C49" s="311"/>
      <c r="D49" s="223"/>
      <c r="E49" s="223"/>
      <c r="F49" s="223"/>
      <c r="G49" s="223"/>
      <c r="H49" s="310" t="s">
        <v>370</v>
      </c>
      <c r="I49" s="223"/>
      <c r="J49" s="223"/>
      <c r="K49" s="223"/>
      <c r="L49" s="226"/>
    </row>
    <row r="50" spans="1:12" ht="12.75">
      <c r="A50" s="223"/>
      <c r="B50" s="223"/>
      <c r="C50" s="223"/>
      <c r="D50" s="223"/>
      <c r="E50" s="223"/>
      <c r="F50" s="223"/>
      <c r="G50" s="223"/>
      <c r="H50" s="223"/>
      <c r="I50" s="223"/>
      <c r="J50" s="223"/>
      <c r="K50" s="223"/>
      <c r="L50" s="226"/>
    </row>
    <row r="51" spans="1:12" ht="12.75">
      <c r="A51" s="223"/>
      <c r="B51" s="223"/>
      <c r="C51" s="223"/>
      <c r="D51" s="223"/>
      <c r="E51" s="223"/>
      <c r="F51" s="223"/>
      <c r="G51" s="223"/>
      <c r="H51" s="223"/>
      <c r="I51" s="223"/>
      <c r="J51" s="223"/>
      <c r="K51" s="223"/>
      <c r="L51" s="226"/>
    </row>
    <row r="52" spans="1:12" ht="12.75">
      <c r="A52" s="223"/>
      <c r="B52" s="336" t="s">
        <v>214</v>
      </c>
      <c r="C52" s="223"/>
      <c r="D52" s="223"/>
      <c r="E52" s="223"/>
      <c r="F52" s="223"/>
      <c r="G52" s="223"/>
      <c r="H52" s="223"/>
      <c r="I52" s="223"/>
      <c r="J52" s="223"/>
      <c r="K52" s="223"/>
      <c r="L52" s="226"/>
    </row>
    <row r="53" spans="1:12" ht="12.75">
      <c r="A53" s="223"/>
      <c r="B53" s="227"/>
      <c r="C53" s="375">
        <f>C21</f>
      </c>
      <c r="D53" s="375">
        <f>D21</f>
      </c>
      <c r="E53" s="375">
        <f>E21</f>
      </c>
      <c r="F53" s="375">
        <f>F21</f>
      </c>
      <c r="G53" s="351"/>
      <c r="H53" s="351"/>
      <c r="I53" s="351"/>
      <c r="J53" s="351"/>
      <c r="K53" s="351"/>
      <c r="L53" s="227"/>
    </row>
    <row r="54" spans="1:12" ht="12.75">
      <c r="A54" s="223"/>
      <c r="B54" s="20" t="s">
        <v>195</v>
      </c>
      <c r="C54" s="167">
        <f>C5+C6</f>
        <v>0</v>
      </c>
      <c r="D54" s="167">
        <f>D5+D6</f>
        <v>0</v>
      </c>
      <c r="E54" s="167">
        <f>E5+E6</f>
        <v>0</v>
      </c>
      <c r="F54" s="167">
        <f>F5+F6</f>
        <v>0</v>
      </c>
      <c r="G54" s="545"/>
      <c r="H54" s="545"/>
      <c r="I54" s="545"/>
      <c r="J54" s="545"/>
      <c r="K54" s="545"/>
      <c r="L54" s="227"/>
    </row>
    <row r="55" spans="1:12" ht="12.75">
      <c r="A55" s="223"/>
      <c r="B55" s="20" t="s">
        <v>196</v>
      </c>
      <c r="C55" s="167">
        <f>SUM(C22:C33,C36:C37)</f>
        <v>0</v>
      </c>
      <c r="D55" s="167">
        <f>SUM(D22:D33,D36:D37)</f>
        <v>0</v>
      </c>
      <c r="E55" s="167">
        <f>SUM(E22:E33,E36:E37)</f>
        <v>0</v>
      </c>
      <c r="F55" s="167">
        <f>SUM(F22:F33,F36:F37)</f>
        <v>0</v>
      </c>
      <c r="G55" s="545"/>
      <c r="H55" s="545"/>
      <c r="I55" s="545"/>
      <c r="J55" s="545"/>
      <c r="K55" s="545"/>
      <c r="L55" s="227"/>
    </row>
    <row r="56" spans="1:12" ht="12.75">
      <c r="A56" s="223"/>
      <c r="B56" s="20" t="s">
        <v>197</v>
      </c>
      <c r="C56" s="167">
        <f>IF(C54-C55&lt;0,0,C54-C55)</f>
        <v>0</v>
      </c>
      <c r="D56" s="167">
        <f>IF(D54-D55&lt;0,0,D54-D55)</f>
        <v>0</v>
      </c>
      <c r="E56" s="167">
        <f>IF(E54-E55&lt;0,0,E54-E55)</f>
        <v>0</v>
      </c>
      <c r="F56" s="167">
        <f>IF(F54-F55&lt;0,0,F54-F55)</f>
        <v>0</v>
      </c>
      <c r="G56" s="545"/>
      <c r="H56" s="545"/>
      <c r="I56" s="545"/>
      <c r="J56" s="545"/>
      <c r="K56" s="545"/>
      <c r="L56" s="227"/>
    </row>
    <row r="57" spans="1:12" ht="12.75">
      <c r="A57" s="223"/>
      <c r="B57" s="20" t="s">
        <v>485</v>
      </c>
      <c r="C57" s="558">
        <f>IF(C54=0,0,ROUND(C56/C54,4))</f>
        <v>0</v>
      </c>
      <c r="D57" s="558">
        <f>IF(D54=0,0,ROUND(D56/D54,4))</f>
        <v>0</v>
      </c>
      <c r="E57" s="558">
        <f>IF(E54=0,0,ROUND(E56/E54,4))</f>
        <v>0</v>
      </c>
      <c r="F57" s="558">
        <f>IF(F54=0,0,ROUND(F56/F54,4))</f>
        <v>0</v>
      </c>
      <c r="G57" s="546"/>
      <c r="H57" s="546"/>
      <c r="I57" s="546"/>
      <c r="J57" s="546"/>
      <c r="K57" s="546"/>
      <c r="L57" s="227"/>
    </row>
    <row r="58" spans="1:12" ht="12.75">
      <c r="A58" s="223"/>
      <c r="B58" s="227"/>
      <c r="C58" s="374"/>
      <c r="D58" s="374"/>
      <c r="E58" s="374"/>
      <c r="F58" s="374"/>
      <c r="G58" s="547"/>
      <c r="H58" s="547"/>
      <c r="I58" s="547"/>
      <c r="J58" s="547"/>
      <c r="K58" s="547"/>
      <c r="L58" s="227"/>
    </row>
    <row r="59" spans="1:12" ht="12.75">
      <c r="A59" s="223"/>
      <c r="B59" s="20" t="s">
        <v>200</v>
      </c>
      <c r="C59" s="167">
        <f>IF(C54&gt;=400,400,C54)</f>
        <v>0</v>
      </c>
      <c r="D59" s="167">
        <f>IF(D54&gt;=400,400,D54)</f>
        <v>0</v>
      </c>
      <c r="E59" s="167">
        <f>IF(E54&gt;=400,400,E54)</f>
        <v>0</v>
      </c>
      <c r="F59" s="167">
        <f>IF(F54&gt;=400,400,F54)</f>
        <v>0</v>
      </c>
      <c r="G59" s="545"/>
      <c r="H59" s="545"/>
      <c r="I59" s="545"/>
      <c r="J59" s="545"/>
      <c r="K59" s="545"/>
      <c r="L59" s="227"/>
    </row>
    <row r="60" spans="1:12" ht="12.75">
      <c r="A60" s="223"/>
      <c r="B60" s="20" t="s">
        <v>482</v>
      </c>
      <c r="C60" s="558">
        <f>C57</f>
        <v>0</v>
      </c>
      <c r="D60" s="558">
        <f>D57</f>
        <v>0</v>
      </c>
      <c r="E60" s="558">
        <f>E57</f>
        <v>0</v>
      </c>
      <c r="F60" s="558">
        <f>F57</f>
        <v>0</v>
      </c>
      <c r="G60" s="546"/>
      <c r="H60" s="546"/>
      <c r="I60" s="546"/>
      <c r="J60" s="546"/>
      <c r="K60" s="546"/>
      <c r="L60" s="227"/>
    </row>
    <row r="61" spans="1:12" ht="12.75">
      <c r="A61" s="223"/>
      <c r="B61" s="149" t="s">
        <v>205</v>
      </c>
      <c r="C61" s="167">
        <f>C59*C60</f>
        <v>0</v>
      </c>
      <c r="D61" s="167">
        <f>D59*D60</f>
        <v>0</v>
      </c>
      <c r="E61" s="167">
        <f>E59*E60</f>
        <v>0</v>
      </c>
      <c r="F61" s="167">
        <f>F59*F60</f>
        <v>0</v>
      </c>
      <c r="G61" s="545"/>
      <c r="H61" s="545"/>
      <c r="I61" s="545"/>
      <c r="J61" s="545"/>
      <c r="K61" s="545"/>
      <c r="L61" s="227"/>
    </row>
    <row r="62" spans="1:12" ht="12.75">
      <c r="A62" s="223"/>
      <c r="B62" s="20" t="s">
        <v>198</v>
      </c>
      <c r="C62" s="167">
        <f>C61*15/100</f>
        <v>0</v>
      </c>
      <c r="D62" s="167">
        <f>D61*15/100</f>
        <v>0</v>
      </c>
      <c r="E62" s="167">
        <f>E61*15/100</f>
        <v>0</v>
      </c>
      <c r="F62" s="167">
        <f>F61*15/100</f>
        <v>0</v>
      </c>
      <c r="G62" s="545"/>
      <c r="H62" s="545"/>
      <c r="I62" s="545"/>
      <c r="J62" s="545"/>
      <c r="K62" s="545"/>
      <c r="L62" s="227"/>
    </row>
    <row r="63" spans="1:12" ht="12.75">
      <c r="A63" s="223"/>
      <c r="B63" s="227"/>
      <c r="C63" s="374"/>
      <c r="D63" s="374"/>
      <c r="E63" s="374"/>
      <c r="F63" s="374"/>
      <c r="G63" s="547"/>
      <c r="H63" s="547"/>
      <c r="I63" s="547"/>
      <c r="J63" s="547"/>
      <c r="K63" s="547"/>
      <c r="L63" s="227"/>
    </row>
    <row r="64" spans="1:12" ht="12.75">
      <c r="A64" s="223"/>
      <c r="B64" s="20" t="s">
        <v>199</v>
      </c>
      <c r="C64" s="167">
        <f>IF(C54&lt;=400,0,IF(C54&gt;=900,500,C54-400))</f>
        <v>0</v>
      </c>
      <c r="D64" s="167">
        <f>IF(D54&lt;=400,0,IF(D54&gt;=900,500,D54-400))</f>
        <v>0</v>
      </c>
      <c r="E64" s="167">
        <f>IF(E54&lt;=400,0,IF(E54&gt;=900,500,E54-400))</f>
        <v>0</v>
      </c>
      <c r="F64" s="167">
        <f>IF(F54&lt;=400,0,IF(F54&gt;=900,500,F54-400))</f>
        <v>0</v>
      </c>
      <c r="G64" s="545"/>
      <c r="H64" s="545"/>
      <c r="I64" s="545"/>
      <c r="J64" s="545"/>
      <c r="K64" s="545"/>
      <c r="L64" s="226"/>
    </row>
    <row r="65" spans="1:12" ht="12.75">
      <c r="A65" s="223"/>
      <c r="B65" s="20" t="s">
        <v>482</v>
      </c>
      <c r="C65" s="558">
        <f>C57</f>
        <v>0</v>
      </c>
      <c r="D65" s="558">
        <f>D57</f>
        <v>0</v>
      </c>
      <c r="E65" s="558">
        <f>E57</f>
        <v>0</v>
      </c>
      <c r="F65" s="558">
        <f>F57</f>
        <v>0</v>
      </c>
      <c r="G65" s="546"/>
      <c r="H65" s="546"/>
      <c r="I65" s="546"/>
      <c r="J65" s="546"/>
      <c r="K65" s="546"/>
      <c r="L65" s="226"/>
    </row>
    <row r="66" spans="1:12" ht="12.75">
      <c r="A66" s="223"/>
      <c r="B66" s="149" t="s">
        <v>205</v>
      </c>
      <c r="C66" s="167">
        <f>C64*C65</f>
        <v>0</v>
      </c>
      <c r="D66" s="167">
        <f>D64*D65</f>
        <v>0</v>
      </c>
      <c r="E66" s="167">
        <f>E64*E65</f>
        <v>0</v>
      </c>
      <c r="F66" s="167">
        <f>F64*F65</f>
        <v>0</v>
      </c>
      <c r="G66" s="546"/>
      <c r="H66" s="546"/>
      <c r="I66" s="546"/>
      <c r="J66" s="546"/>
      <c r="K66" s="546"/>
      <c r="L66" s="226"/>
    </row>
    <row r="67" spans="1:12" ht="12.75">
      <c r="A67" s="223"/>
      <c r="B67" s="20" t="s">
        <v>492</v>
      </c>
      <c r="C67" s="167">
        <f>C66*30/100</f>
        <v>0</v>
      </c>
      <c r="D67" s="167">
        <f>D66*30/100</f>
        <v>0</v>
      </c>
      <c r="E67" s="167">
        <f>E66*30/100</f>
        <v>0</v>
      </c>
      <c r="F67" s="167">
        <f>F66*30/100</f>
        <v>0</v>
      </c>
      <c r="G67" s="545"/>
      <c r="H67" s="545"/>
      <c r="I67" s="545"/>
      <c r="J67" s="545"/>
      <c r="K67" s="545"/>
      <c r="L67" s="226"/>
    </row>
    <row r="68" spans="1:12" ht="12.75">
      <c r="A68" s="223"/>
      <c r="B68" s="227"/>
      <c r="C68" s="227"/>
      <c r="D68" s="227"/>
      <c r="E68" s="227"/>
      <c r="F68" s="227"/>
      <c r="G68" s="317"/>
      <c r="H68" s="317"/>
      <c r="I68" s="317"/>
      <c r="J68" s="317"/>
      <c r="K68" s="317"/>
      <c r="L68" s="226"/>
    </row>
    <row r="69" spans="1:12" ht="12.75">
      <c r="A69" s="223"/>
      <c r="B69" s="20" t="s">
        <v>201</v>
      </c>
      <c r="C69" s="167">
        <f>IF(C54&lt;=900,0,IF(C54&gt;=1500,600,C54-900))</f>
        <v>0</v>
      </c>
      <c r="D69" s="167">
        <f>IF(D54&lt;=900,0,IF(D54&gt;=1500,600,D54-900))</f>
        <v>0</v>
      </c>
      <c r="E69" s="167">
        <f>IF(E54&lt;=900,0,IF(E54&gt;=1500,600,E54-900))</f>
        <v>0</v>
      </c>
      <c r="F69" s="167">
        <f>IF(F54&lt;=900,0,IF(F54&gt;=1500,600,F54-900))</f>
        <v>0</v>
      </c>
      <c r="G69" s="545"/>
      <c r="H69" s="545"/>
      <c r="I69" s="545"/>
      <c r="J69" s="545"/>
      <c r="K69" s="545"/>
      <c r="L69" s="226"/>
    </row>
    <row r="70" spans="1:12" ht="12.75">
      <c r="A70" s="223"/>
      <c r="B70" s="20" t="s">
        <v>482</v>
      </c>
      <c r="C70" s="558">
        <f>C57</f>
        <v>0</v>
      </c>
      <c r="D70" s="558">
        <f>D57</f>
        <v>0</v>
      </c>
      <c r="E70" s="558">
        <f>E57</f>
        <v>0</v>
      </c>
      <c r="F70" s="558">
        <f>F57</f>
        <v>0</v>
      </c>
      <c r="G70" s="546"/>
      <c r="H70" s="546"/>
      <c r="I70" s="546"/>
      <c r="J70" s="546"/>
      <c r="K70" s="546"/>
      <c r="L70" s="226"/>
    </row>
    <row r="71" spans="1:12" ht="12.75">
      <c r="A71" s="223"/>
      <c r="B71" s="149" t="s">
        <v>205</v>
      </c>
      <c r="C71" s="167">
        <f>C69*C70</f>
        <v>0</v>
      </c>
      <c r="D71" s="167">
        <f>D69*D70</f>
        <v>0</v>
      </c>
      <c r="E71" s="167">
        <f>E69*E70</f>
        <v>0</v>
      </c>
      <c r="F71" s="167">
        <f>F69*F70</f>
        <v>0</v>
      </c>
      <c r="G71" s="545"/>
      <c r="H71" s="545"/>
      <c r="I71" s="545"/>
      <c r="J71" s="545"/>
      <c r="K71" s="545"/>
      <c r="L71" s="226"/>
    </row>
    <row r="72" spans="1:12" ht="12.75">
      <c r="A72" s="223"/>
      <c r="B72" s="20" t="s">
        <v>198</v>
      </c>
      <c r="C72" s="167">
        <f>C71*15/100</f>
        <v>0</v>
      </c>
      <c r="D72" s="167">
        <f>D71*15/100</f>
        <v>0</v>
      </c>
      <c r="E72" s="167">
        <f>E71*15/100</f>
        <v>0</v>
      </c>
      <c r="F72" s="167">
        <f>F71*15/100</f>
        <v>0</v>
      </c>
      <c r="G72" s="545"/>
      <c r="H72" s="545"/>
      <c r="I72" s="545"/>
      <c r="J72" s="545"/>
      <c r="K72" s="545"/>
      <c r="L72" s="226"/>
    </row>
    <row r="73" spans="1:12" ht="12.75">
      <c r="A73" s="223"/>
      <c r="B73" s="227"/>
      <c r="C73" s="227"/>
      <c r="D73" s="227"/>
      <c r="E73" s="227"/>
      <c r="F73" s="227"/>
      <c r="G73" s="317"/>
      <c r="H73" s="317"/>
      <c r="I73" s="317"/>
      <c r="J73" s="317"/>
      <c r="K73" s="317"/>
      <c r="L73" s="226"/>
    </row>
    <row r="74" spans="1:12" ht="12.75">
      <c r="A74" s="223"/>
      <c r="B74" s="20" t="s">
        <v>202</v>
      </c>
      <c r="C74" s="167">
        <f>C62+C67+C72</f>
        <v>0</v>
      </c>
      <c r="D74" s="167">
        <f>D62+D67+D72</f>
        <v>0</v>
      </c>
      <c r="E74" s="167">
        <f>E62+E67+E72</f>
        <v>0</v>
      </c>
      <c r="F74" s="167">
        <f>F62+F67+F72</f>
        <v>0</v>
      </c>
      <c r="G74" s="545"/>
      <c r="H74" s="545"/>
      <c r="I74" s="545"/>
      <c r="J74" s="545"/>
      <c r="K74" s="545"/>
      <c r="L74" s="226"/>
    </row>
    <row r="75" spans="1:12" ht="12.75">
      <c r="A75" s="223"/>
      <c r="B75" s="227"/>
      <c r="C75" s="227"/>
      <c r="D75" s="223"/>
      <c r="E75" s="223"/>
      <c r="F75" s="223"/>
      <c r="G75" s="223"/>
      <c r="H75" s="223"/>
      <c r="I75" s="223"/>
      <c r="J75" s="223"/>
      <c r="K75" s="223"/>
      <c r="L75" s="226"/>
    </row>
    <row r="76" spans="1:12" ht="12.75" customHeight="1">
      <c r="A76" s="223"/>
      <c r="B76" s="223"/>
      <c r="C76" s="223"/>
      <c r="D76" s="223"/>
      <c r="E76" s="223"/>
      <c r="F76" s="223"/>
      <c r="G76" s="223"/>
      <c r="H76" s="223"/>
      <c r="I76" s="223"/>
      <c r="J76" s="223"/>
      <c r="K76" s="223"/>
      <c r="L76" s="226"/>
    </row>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spans="1:12" ht="12.75" hidden="1">
      <c r="A100" s="5"/>
      <c r="B100" s="5"/>
      <c r="C100" s="5"/>
      <c r="D100" s="5"/>
      <c r="E100" s="5"/>
      <c r="F100" s="5"/>
      <c r="G100" s="5"/>
      <c r="H100" s="5"/>
      <c r="I100" s="5"/>
      <c r="J100" s="5"/>
      <c r="K100" s="5"/>
      <c r="L100" s="298"/>
    </row>
    <row r="101" spans="1:12" ht="12.75" hidden="1">
      <c r="A101" s="5"/>
      <c r="B101" s="5"/>
      <c r="C101" s="5"/>
      <c r="D101" s="5"/>
      <c r="E101" s="5"/>
      <c r="F101" s="5"/>
      <c r="G101" s="5"/>
      <c r="H101" s="5"/>
      <c r="I101" s="5"/>
      <c r="J101" s="5"/>
      <c r="K101" s="5"/>
      <c r="L101" s="298"/>
    </row>
    <row r="102" ht="12.75" hidden="1"/>
    <row r="103" ht="12.75" hidden="1"/>
    <row r="104" spans="1:12" ht="12.75">
      <c r="A104" s="5"/>
      <c r="B104" s="5"/>
      <c r="C104" s="5"/>
      <c r="D104" s="5"/>
      <c r="E104" s="5"/>
      <c r="F104" s="5"/>
      <c r="G104" s="5"/>
      <c r="H104" s="5"/>
      <c r="I104" s="5"/>
      <c r="J104" s="5"/>
      <c r="K104" s="5"/>
      <c r="L104" s="298"/>
    </row>
    <row r="105" spans="1:12" ht="12.75">
      <c r="A105" s="5"/>
      <c r="B105" s="5"/>
      <c r="C105" s="5"/>
      <c r="D105" s="5"/>
      <c r="E105" s="5"/>
      <c r="F105" s="5"/>
      <c r="G105" s="5"/>
      <c r="H105" s="5"/>
      <c r="I105" s="5"/>
      <c r="J105" s="5"/>
      <c r="K105" s="5"/>
      <c r="L105" s="298"/>
    </row>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sheetData>
  <sheetProtection password="C724" sheet="1" objects="1" scenarios="1"/>
  <printOptions horizontalCentered="1"/>
  <pageMargins left="0.3937007874015748" right="0.3937007874015748" top="0.984251968503937" bottom="0.3937007874015748" header="0.3937007874015748" footer="0"/>
  <pageSetup blackAndWhite="1" horizontalDpi="600" verticalDpi="600" orientation="landscape" paperSize="9" scale="99" r:id="rId4"/>
  <headerFooter alignWithMargins="0">
    <oddHeader>&amp;L&amp;"Arial,Fett"&amp;8NUTZUNG OHNE GEWÄHR&amp;C&amp;"Arial,Fett"&amp;8&amp;F&amp;R&amp;"Arial,Fett"&amp;8http://www.ArbeitslosengeldII.de</oddHeader>
  </headerFooter>
  <colBreaks count="1" manualBreakCount="1">
    <brk id="10"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4">
    <pageSetUpPr fitToPage="1"/>
  </sheetPr>
  <dimension ref="A1:L42"/>
  <sheetViews>
    <sheetView showGridLines="0" showRowColHeaders="0" workbookViewId="0" topLeftCell="A1">
      <selection activeCell="A1" sqref="A1"/>
    </sheetView>
  </sheetViews>
  <sheetFormatPr defaultColWidth="11.421875" defaultRowHeight="12.75" zeroHeight="1"/>
  <cols>
    <col min="1" max="1" width="1.8515625" style="50" customWidth="1"/>
    <col min="2" max="2" width="32.8515625" style="50" customWidth="1"/>
    <col min="3" max="3" width="11.7109375" style="50" bestFit="1" customWidth="1"/>
    <col min="4" max="11" width="11.421875" style="50" customWidth="1"/>
    <col min="12" max="12" width="3.00390625" style="50" customWidth="1"/>
    <col min="13" max="16384" width="0" style="50" hidden="1" customWidth="1"/>
  </cols>
  <sheetData>
    <row r="1" spans="1:12" ht="15.75">
      <c r="A1" s="223"/>
      <c r="B1" s="365" t="s">
        <v>74</v>
      </c>
      <c r="C1" s="365"/>
      <c r="D1" s="365"/>
      <c r="E1" s="365"/>
      <c r="F1" s="365"/>
      <c r="G1" s="365"/>
      <c r="H1" s="365"/>
      <c r="I1" s="365"/>
      <c r="J1" s="365"/>
      <c r="K1" s="365"/>
      <c r="L1" s="223"/>
    </row>
    <row r="2" spans="1:12" ht="12.75">
      <c r="A2" s="223"/>
      <c r="B2" s="376"/>
      <c r="C2" s="367"/>
      <c r="D2" s="367"/>
      <c r="E2" s="367"/>
      <c r="F2" s="367"/>
      <c r="G2" s="223"/>
      <c r="H2" s="223"/>
      <c r="I2" s="223"/>
      <c r="J2" s="223"/>
      <c r="K2" s="223"/>
      <c r="L2" s="223"/>
    </row>
    <row r="3" spans="1:12" ht="12.75">
      <c r="A3" s="223"/>
      <c r="B3" s="377"/>
      <c r="C3" s="369" t="s">
        <v>0</v>
      </c>
      <c r="D3" s="369" t="s">
        <v>151</v>
      </c>
      <c r="E3" s="369" t="s">
        <v>402</v>
      </c>
      <c r="F3" s="369" t="s">
        <v>402</v>
      </c>
      <c r="G3" s="369" t="s">
        <v>241</v>
      </c>
      <c r="H3" s="369" t="s">
        <v>241</v>
      </c>
      <c r="I3" s="369" t="s">
        <v>241</v>
      </c>
      <c r="J3" s="369" t="s">
        <v>241</v>
      </c>
      <c r="K3" s="369" t="s">
        <v>241</v>
      </c>
      <c r="L3" s="223"/>
    </row>
    <row r="4" spans="1:12" ht="12.75">
      <c r="A4" s="223"/>
      <c r="B4" s="345" t="s">
        <v>5</v>
      </c>
      <c r="C4" s="145">
        <f>Einkommen!C4</f>
      </c>
      <c r="D4" s="145">
        <f>Einkommen!D4</f>
      </c>
      <c r="E4" s="145">
        <f>Einkommen!E4</f>
      </c>
      <c r="F4" s="145">
        <f>Einkommen!F4</f>
      </c>
      <c r="G4" s="145">
        <f>Einkommen!G4</f>
      </c>
      <c r="H4" s="145">
        <f>Einkommen!H4</f>
      </c>
      <c r="I4" s="145">
        <f>Einkommen!I4</f>
      </c>
      <c r="J4" s="145">
        <f>Einkommen!J4</f>
      </c>
      <c r="K4" s="145">
        <f>Einkommen!K4</f>
      </c>
      <c r="L4" s="223"/>
    </row>
    <row r="5" spans="1:12" ht="12.75">
      <c r="A5" s="223"/>
      <c r="B5" s="345" t="s">
        <v>42</v>
      </c>
      <c r="C5" s="308">
        <f>IF(Daten!C14="","",Daten!C14)</f>
      </c>
      <c r="D5" s="308">
        <f>IF(Daten!D14="","",Daten!D14)</f>
      </c>
      <c r="E5" s="308">
        <f>IF(Daten!E14="","",Daten!E14)</f>
      </c>
      <c r="F5" s="308">
        <f>IF(Daten!F14="","",Daten!F14)</f>
      </c>
      <c r="G5" s="308">
        <f>IF(Daten!G14="","",Daten!G14)</f>
      </c>
      <c r="H5" s="308">
        <f>IF(Daten!H14="","",Daten!H14)</f>
      </c>
      <c r="I5" s="308">
        <f>IF(Daten!I14="","",Daten!I14)</f>
      </c>
      <c r="J5" s="308">
        <f>IF(Daten!J14="","",Daten!J14)</f>
      </c>
      <c r="K5" s="308">
        <f>IF(Daten!K14="","",Daten!K14)</f>
      </c>
      <c r="L5" s="223"/>
    </row>
    <row r="6" spans="1:12" ht="12.75">
      <c r="A6" s="223"/>
      <c r="B6" s="19" t="s">
        <v>215</v>
      </c>
      <c r="C6" s="18"/>
      <c r="D6" s="18"/>
      <c r="E6" s="18"/>
      <c r="F6" s="18"/>
      <c r="G6" s="18"/>
      <c r="H6" s="18"/>
      <c r="I6" s="18"/>
      <c r="J6" s="18"/>
      <c r="K6" s="18"/>
      <c r="L6" s="223"/>
    </row>
    <row r="7" spans="1:12" ht="12.75">
      <c r="A7" s="223"/>
      <c r="B7" s="19" t="s">
        <v>216</v>
      </c>
      <c r="C7" s="18"/>
      <c r="D7" s="18"/>
      <c r="E7" s="18"/>
      <c r="F7" s="18"/>
      <c r="G7" s="18"/>
      <c r="H7" s="18"/>
      <c r="I7" s="18"/>
      <c r="J7" s="18"/>
      <c r="K7" s="18"/>
      <c r="L7" s="223"/>
    </row>
    <row r="8" spans="1:12" ht="12.75">
      <c r="A8" s="223"/>
      <c r="B8" s="19" t="s">
        <v>71</v>
      </c>
      <c r="C8" s="18"/>
      <c r="D8" s="18"/>
      <c r="E8" s="18"/>
      <c r="F8" s="18"/>
      <c r="G8" s="18"/>
      <c r="H8" s="18"/>
      <c r="I8" s="18"/>
      <c r="J8" s="18"/>
      <c r="K8" s="18"/>
      <c r="L8" s="223"/>
    </row>
    <row r="9" spans="1:12" ht="12.75">
      <c r="A9" s="223"/>
      <c r="B9" s="19" t="s">
        <v>70</v>
      </c>
      <c r="C9" s="18"/>
      <c r="D9" s="18"/>
      <c r="E9" s="18"/>
      <c r="F9" s="18"/>
      <c r="G9" s="18"/>
      <c r="H9" s="18"/>
      <c r="I9" s="18"/>
      <c r="J9" s="18"/>
      <c r="K9" s="18"/>
      <c r="L9" s="223"/>
    </row>
    <row r="10" spans="1:12" ht="12.75">
      <c r="A10" s="223"/>
      <c r="B10" s="42" t="s">
        <v>493</v>
      </c>
      <c r="C10" s="18"/>
      <c r="D10" s="18"/>
      <c r="E10" s="18"/>
      <c r="F10" s="18"/>
      <c r="G10" s="18"/>
      <c r="H10" s="18"/>
      <c r="I10" s="18"/>
      <c r="J10" s="18"/>
      <c r="K10" s="18"/>
      <c r="L10" s="223"/>
    </row>
    <row r="11" spans="1:12" ht="12.75">
      <c r="A11" s="223"/>
      <c r="B11" s="19" t="s">
        <v>218</v>
      </c>
      <c r="C11" s="18"/>
      <c r="D11" s="18"/>
      <c r="E11" s="18"/>
      <c r="F11" s="18"/>
      <c r="G11" s="18"/>
      <c r="H11" s="18"/>
      <c r="I11" s="18"/>
      <c r="J11" s="18"/>
      <c r="K11" s="18"/>
      <c r="L11" s="223"/>
    </row>
    <row r="12" spans="1:12" ht="12.75">
      <c r="A12" s="223"/>
      <c r="B12" s="19" t="s">
        <v>217</v>
      </c>
      <c r="C12" s="18"/>
      <c r="D12" s="18"/>
      <c r="E12" s="18"/>
      <c r="F12" s="18"/>
      <c r="G12" s="18"/>
      <c r="H12" s="18"/>
      <c r="I12" s="18"/>
      <c r="J12" s="18"/>
      <c r="K12" s="18"/>
      <c r="L12" s="223"/>
    </row>
    <row r="13" spans="1:12" ht="12.75">
      <c r="A13" s="223"/>
      <c r="B13" s="19" t="s">
        <v>219</v>
      </c>
      <c r="C13" s="18"/>
      <c r="D13" s="18"/>
      <c r="E13" s="18"/>
      <c r="F13" s="18"/>
      <c r="G13" s="18"/>
      <c r="H13" s="18"/>
      <c r="I13" s="18"/>
      <c r="J13" s="18"/>
      <c r="K13" s="18"/>
      <c r="L13" s="223"/>
    </row>
    <row r="14" spans="1:12" ht="12.75">
      <c r="A14" s="223"/>
      <c r="B14" s="535" t="s">
        <v>72</v>
      </c>
      <c r="C14" s="576"/>
      <c r="D14" s="576"/>
      <c r="E14" s="576"/>
      <c r="F14" s="382"/>
      <c r="G14" s="383"/>
      <c r="H14" s="383"/>
      <c r="I14" s="383"/>
      <c r="J14" s="383"/>
      <c r="K14" s="383"/>
      <c r="L14" s="223"/>
    </row>
    <row r="15" spans="1:12" ht="12.75">
      <c r="A15" s="223"/>
      <c r="B15" s="51"/>
      <c r="C15" s="18"/>
      <c r="D15" s="18"/>
      <c r="E15" s="18"/>
      <c r="F15" s="18"/>
      <c r="G15" s="18"/>
      <c r="H15" s="18"/>
      <c r="I15" s="18"/>
      <c r="J15" s="18"/>
      <c r="K15" s="18"/>
      <c r="L15" s="223"/>
    </row>
    <row r="16" spans="1:12" ht="12.75">
      <c r="A16" s="223"/>
      <c r="B16" s="345" t="s">
        <v>73</v>
      </c>
      <c r="C16" s="52">
        <f aca="true" t="shared" si="0" ref="C16:K16">SUM(C6:C13,C15:C15)</f>
        <v>0</v>
      </c>
      <c r="D16" s="52">
        <f t="shared" si="0"/>
        <v>0</v>
      </c>
      <c r="E16" s="52">
        <f t="shared" si="0"/>
        <v>0</v>
      </c>
      <c r="F16" s="52">
        <f t="shared" si="0"/>
        <v>0</v>
      </c>
      <c r="G16" s="52">
        <f t="shared" si="0"/>
        <v>0</v>
      </c>
      <c r="H16" s="52">
        <f t="shared" si="0"/>
        <v>0</v>
      </c>
      <c r="I16" s="52">
        <f t="shared" si="0"/>
        <v>0</v>
      </c>
      <c r="J16" s="52">
        <f t="shared" si="0"/>
        <v>0</v>
      </c>
      <c r="K16" s="52">
        <f t="shared" si="0"/>
        <v>0</v>
      </c>
      <c r="L16" s="223"/>
    </row>
    <row r="17" spans="1:12" ht="12.75">
      <c r="A17" s="223"/>
      <c r="B17" s="345" t="s">
        <v>220</v>
      </c>
      <c r="C17" s="577">
        <f>C16+D16</f>
        <v>0</v>
      </c>
      <c r="D17" s="578"/>
      <c r="E17" s="378"/>
      <c r="F17" s="378"/>
      <c r="G17" s="378"/>
      <c r="H17" s="378"/>
      <c r="I17" s="378"/>
      <c r="J17" s="378"/>
      <c r="K17" s="378"/>
      <c r="L17" s="223"/>
    </row>
    <row r="18" spans="1:12" ht="12.75">
      <c r="A18" s="223"/>
      <c r="B18" s="228"/>
      <c r="C18" s="351"/>
      <c r="D18" s="351"/>
      <c r="E18" s="351"/>
      <c r="F18" s="351"/>
      <c r="G18" s="351"/>
      <c r="H18" s="351"/>
      <c r="I18" s="351"/>
      <c r="J18" s="351"/>
      <c r="K18" s="351"/>
      <c r="L18" s="223"/>
    </row>
    <row r="19" spans="1:12" ht="12.75">
      <c r="A19" s="223"/>
      <c r="B19" s="491" t="s">
        <v>221</v>
      </c>
      <c r="C19" s="145">
        <f>C4</f>
      </c>
      <c r="D19" s="145">
        <f aca="true" t="shared" si="1" ref="D19:K19">D4</f>
      </c>
      <c r="E19" s="145">
        <f t="shared" si="1"/>
      </c>
      <c r="F19" s="145">
        <f t="shared" si="1"/>
      </c>
      <c r="G19" s="145">
        <f t="shared" si="1"/>
      </c>
      <c r="H19" s="145">
        <f t="shared" si="1"/>
      </c>
      <c r="I19" s="145">
        <f t="shared" si="1"/>
      </c>
      <c r="J19" s="145">
        <f t="shared" si="1"/>
      </c>
      <c r="K19" s="145">
        <f t="shared" si="1"/>
      </c>
      <c r="L19" s="223"/>
    </row>
    <row r="20" spans="1:12" s="47" customFormat="1" ht="12.75">
      <c r="A20" s="228"/>
      <c r="B20" s="247" t="s">
        <v>424</v>
      </c>
      <c r="C20" s="21"/>
      <c r="D20" s="21"/>
      <c r="E20" s="21"/>
      <c r="F20" s="21"/>
      <c r="G20" s="21"/>
      <c r="H20" s="21"/>
      <c r="I20" s="21"/>
      <c r="J20" s="21"/>
      <c r="K20" s="21"/>
      <c r="L20" s="228"/>
    </row>
    <row r="21" spans="1:12" s="47" customFormat="1" ht="12.75">
      <c r="A21" s="228"/>
      <c r="B21" s="48" t="s">
        <v>425</v>
      </c>
      <c r="C21" s="140">
        <f aca="true" t="shared" si="2" ref="C21:K21">IF(C5="",0,IF(C5&lt;57,IF(C5*200&gt;13000,13000,IF(C5*200&lt;4100,4100,C5*200)),IF(C5*520&gt;33800,33800,IF(C5*520&lt;4100,4100,C5*520))))</f>
        <v>0</v>
      </c>
      <c r="D21" s="140">
        <f t="shared" si="2"/>
        <v>0</v>
      </c>
      <c r="E21" s="140">
        <f t="shared" si="2"/>
        <v>0</v>
      </c>
      <c r="F21" s="140">
        <f t="shared" si="2"/>
        <v>0</v>
      </c>
      <c r="G21" s="140">
        <f t="shared" si="2"/>
        <v>0</v>
      </c>
      <c r="H21" s="140">
        <f t="shared" si="2"/>
        <v>0</v>
      </c>
      <c r="I21" s="140">
        <f t="shared" si="2"/>
        <v>0</v>
      </c>
      <c r="J21" s="140">
        <f t="shared" si="2"/>
        <v>0</v>
      </c>
      <c r="K21" s="140">
        <f t="shared" si="2"/>
        <v>0</v>
      </c>
      <c r="L21" s="228"/>
    </row>
    <row r="22" spans="1:12" ht="12.75">
      <c r="A22" s="223"/>
      <c r="B22" s="49" t="s">
        <v>140</v>
      </c>
      <c r="C22" s="18"/>
      <c r="D22" s="18"/>
      <c r="E22" s="18"/>
      <c r="F22" s="18"/>
      <c r="G22" s="18"/>
      <c r="H22" s="18"/>
      <c r="I22" s="18"/>
      <c r="J22" s="18"/>
      <c r="K22" s="18"/>
      <c r="L22" s="223"/>
    </row>
    <row r="23" spans="1:12" ht="12.75">
      <c r="A23" s="223"/>
      <c r="B23" s="54" t="s">
        <v>75</v>
      </c>
      <c r="C23" s="55"/>
      <c r="D23" s="55"/>
      <c r="E23" s="55"/>
      <c r="F23" s="55"/>
      <c r="G23" s="540"/>
      <c r="H23" s="541"/>
      <c r="I23" s="541"/>
      <c r="J23" s="541"/>
      <c r="K23" s="541"/>
      <c r="L23" s="223"/>
    </row>
    <row r="24" spans="1:12" ht="12.75">
      <c r="A24" s="223"/>
      <c r="B24" s="56" t="s">
        <v>426</v>
      </c>
      <c r="C24" s="57">
        <f>IF(C5="",0,IF(C23&gt;13000,13000,IF(C5*200&lt;C23,C5*200,0)))</f>
        <v>0</v>
      </c>
      <c r="D24" s="57">
        <f>IF(D5="",0,IF(D23&gt;13000,13000,IF(D5*200&lt;D23,D5*200,0)))</f>
        <v>0</v>
      </c>
      <c r="E24" s="57">
        <f>IF(E5="",0,IF(E23&gt;13000,13000,IF(E5*200&lt;E23,E5*200,0)))</f>
        <v>0</v>
      </c>
      <c r="F24" s="57">
        <f>IF(F5="",0,IF(F23&gt;13000,13000,IF(F5*200&lt;F23,F5*200,0)))</f>
        <v>0</v>
      </c>
      <c r="G24" s="538"/>
      <c r="H24" s="539"/>
      <c r="I24" s="539"/>
      <c r="J24" s="539"/>
      <c r="K24" s="539"/>
      <c r="L24" s="223"/>
    </row>
    <row r="25" spans="1:12" ht="12.75">
      <c r="A25" s="223"/>
      <c r="B25" s="248" t="s">
        <v>405</v>
      </c>
      <c r="C25" s="139"/>
      <c r="D25" s="139"/>
      <c r="E25" s="139"/>
      <c r="F25" s="139"/>
      <c r="G25" s="139"/>
      <c r="H25" s="139"/>
      <c r="I25" s="139"/>
      <c r="J25" s="139"/>
      <c r="K25" s="139"/>
      <c r="L25" s="223"/>
    </row>
    <row r="26" spans="1:12" ht="12.75">
      <c r="A26" s="223"/>
      <c r="B26" s="249" t="s">
        <v>427</v>
      </c>
      <c r="C26" s="140">
        <v>750</v>
      </c>
      <c r="D26" s="140">
        <f>IF(D4="",0,750)</f>
        <v>0</v>
      </c>
      <c r="E26" s="140">
        <f aca="true" t="shared" si="3" ref="E26:K26">IF(E4="",0,750)</f>
        <v>0</v>
      </c>
      <c r="F26" s="140">
        <f t="shared" si="3"/>
        <v>0</v>
      </c>
      <c r="G26" s="140">
        <f t="shared" si="3"/>
        <v>0</v>
      </c>
      <c r="H26" s="140">
        <f t="shared" si="3"/>
        <v>0</v>
      </c>
      <c r="I26" s="140">
        <f t="shared" si="3"/>
        <v>0</v>
      </c>
      <c r="J26" s="140">
        <f t="shared" si="3"/>
        <v>0</v>
      </c>
      <c r="K26" s="140">
        <f t="shared" si="3"/>
        <v>0</v>
      </c>
      <c r="L26" s="223"/>
    </row>
    <row r="27" spans="1:12" ht="12.75">
      <c r="A27" s="223"/>
      <c r="B27" s="559" t="s">
        <v>76</v>
      </c>
      <c r="C27" s="52">
        <f>IF(C24&gt;0,C21+C22+C24+C26,C21+C22+C23+C26)</f>
        <v>750</v>
      </c>
      <c r="D27" s="52">
        <f>IF(D24&gt;0,D21+D22+D24+D26,D21+D22+D23+D26)</f>
        <v>0</v>
      </c>
      <c r="E27" s="52">
        <f>IF(E24&gt;0,E21+E22+E24+E26,E21+E22+E23+E26)</f>
        <v>0</v>
      </c>
      <c r="F27" s="52">
        <f>IF(F24&gt;0,F21+F22+F24+F26,F21+F22+F23+F26)</f>
        <v>0</v>
      </c>
      <c r="G27" s="52">
        <f>G21+G22+G26</f>
        <v>0</v>
      </c>
      <c r="H27" s="52">
        <f>H21+H22+H26</f>
        <v>0</v>
      </c>
      <c r="I27" s="52">
        <f>I21+I22+I26</f>
        <v>0</v>
      </c>
      <c r="J27" s="52">
        <f>J21+J22+J26</f>
        <v>0</v>
      </c>
      <c r="K27" s="52">
        <f>K21+K22+K26</f>
        <v>0</v>
      </c>
      <c r="L27" s="223"/>
    </row>
    <row r="28" spans="1:12" ht="12.75">
      <c r="A28" s="223"/>
      <c r="B28" s="345" t="s">
        <v>222</v>
      </c>
      <c r="C28" s="577">
        <f>C27+D27</f>
        <v>750</v>
      </c>
      <c r="D28" s="578"/>
      <c r="E28" s="380"/>
      <c r="F28" s="380"/>
      <c r="G28" s="380"/>
      <c r="H28" s="380"/>
      <c r="I28" s="380"/>
      <c r="J28" s="380"/>
      <c r="K28" s="380"/>
      <c r="L28" s="223"/>
    </row>
    <row r="29" spans="1:12" ht="12.75">
      <c r="A29" s="223"/>
      <c r="B29" s="223"/>
      <c r="C29" s="379"/>
      <c r="D29" s="380"/>
      <c r="E29" s="380"/>
      <c r="F29" s="380"/>
      <c r="G29" s="380"/>
      <c r="H29" s="380"/>
      <c r="I29" s="380"/>
      <c r="J29" s="380"/>
      <c r="K29" s="380"/>
      <c r="L29" s="223"/>
    </row>
    <row r="30" spans="1:12" s="233" customFormat="1" ht="12.75">
      <c r="A30" s="229"/>
      <c r="B30" s="372" t="s">
        <v>77</v>
      </c>
      <c r="C30" s="579">
        <f>IF(C17-C28&lt;0,0,C17-C28)</f>
        <v>0</v>
      </c>
      <c r="D30" s="580"/>
      <c r="E30" s="151">
        <f aca="true" t="shared" si="4" ref="E30:K30">IF(E16-E27&lt;0,0,E16-E27)</f>
        <v>0</v>
      </c>
      <c r="F30" s="151">
        <f t="shared" si="4"/>
        <v>0</v>
      </c>
      <c r="G30" s="151">
        <f t="shared" si="4"/>
        <v>0</v>
      </c>
      <c r="H30" s="151">
        <f t="shared" si="4"/>
        <v>0</v>
      </c>
      <c r="I30" s="151">
        <f t="shared" si="4"/>
        <v>0</v>
      </c>
      <c r="J30" s="151">
        <f t="shared" si="4"/>
        <v>0</v>
      </c>
      <c r="K30" s="151">
        <f t="shared" si="4"/>
        <v>0</v>
      </c>
      <c r="L30" s="229"/>
    </row>
    <row r="31" spans="1:12" ht="12.75">
      <c r="A31" s="223"/>
      <c r="B31" s="381"/>
      <c r="C31" s="228"/>
      <c r="D31" s="228"/>
      <c r="E31" s="223"/>
      <c r="F31" s="223"/>
      <c r="G31" s="223"/>
      <c r="H31" s="228"/>
      <c r="I31" s="228"/>
      <c r="J31" s="228"/>
      <c r="K31" s="228"/>
      <c r="L31" s="223"/>
    </row>
    <row r="32" spans="1:12" ht="12.75">
      <c r="A32" s="223"/>
      <c r="B32" s="358" t="s">
        <v>450</v>
      </c>
      <c r="C32" s="223"/>
      <c r="D32" s="223"/>
      <c r="E32" s="223"/>
      <c r="F32" s="223"/>
      <c r="G32" s="223"/>
      <c r="H32" s="310" t="s">
        <v>368</v>
      </c>
      <c r="I32" s="223"/>
      <c r="J32" s="223"/>
      <c r="K32" s="223"/>
      <c r="L32" s="223"/>
    </row>
    <row r="33" spans="1:12" ht="12.75">
      <c r="A33" s="223"/>
      <c r="B33" s="223"/>
      <c r="C33" s="223"/>
      <c r="D33" s="223"/>
      <c r="E33" s="223"/>
      <c r="F33" s="223"/>
      <c r="G33" s="223"/>
      <c r="H33" s="373"/>
      <c r="I33" s="223"/>
      <c r="J33" s="223"/>
      <c r="K33" s="223"/>
      <c r="L33" s="223"/>
    </row>
    <row r="34" spans="1:12" ht="12.75">
      <c r="A34" s="223"/>
      <c r="B34" s="223"/>
      <c r="C34" s="223"/>
      <c r="D34" s="223"/>
      <c r="E34" s="223"/>
      <c r="F34" s="223"/>
      <c r="G34" s="223"/>
      <c r="H34" s="310" t="s">
        <v>370</v>
      </c>
      <c r="I34" s="223"/>
      <c r="J34" s="223"/>
      <c r="K34" s="223"/>
      <c r="L34" s="223"/>
    </row>
    <row r="35" spans="1:12" ht="12.75">
      <c r="A35" s="223"/>
      <c r="B35" s="223"/>
      <c r="C35" s="311"/>
      <c r="D35" s="223"/>
      <c r="E35" s="223"/>
      <c r="F35" s="223"/>
      <c r="G35" s="223"/>
      <c r="H35" s="223"/>
      <c r="I35" s="223"/>
      <c r="J35" s="223"/>
      <c r="K35" s="223"/>
      <c r="L35" s="223"/>
    </row>
    <row r="36" spans="1:12" ht="12.75" hidden="1">
      <c r="A36" s="223"/>
      <c r="B36" s="223"/>
      <c r="C36" s="311"/>
      <c r="D36" s="223"/>
      <c r="E36" s="223"/>
      <c r="F36" s="223"/>
      <c r="G36" s="223"/>
      <c r="H36" s="223"/>
      <c r="I36" s="223"/>
      <c r="J36" s="223"/>
      <c r="K36" s="223"/>
      <c r="L36" s="223"/>
    </row>
    <row r="37" spans="1:12" ht="12.75" hidden="1">
      <c r="A37" s="223"/>
      <c r="B37" s="223"/>
      <c r="C37" s="311"/>
      <c r="D37" s="223"/>
      <c r="E37" s="223"/>
      <c r="F37" s="223"/>
      <c r="G37" s="223"/>
      <c r="H37" s="223"/>
      <c r="I37" s="223"/>
      <c r="J37" s="223"/>
      <c r="K37" s="223"/>
      <c r="L37" s="223"/>
    </row>
    <row r="38" spans="1:12" ht="12.75" hidden="1">
      <c r="A38" s="223"/>
      <c r="B38" s="223"/>
      <c r="C38" s="311"/>
      <c r="D38" s="223"/>
      <c r="E38" s="223"/>
      <c r="F38" s="223"/>
      <c r="G38" s="223"/>
      <c r="H38" s="223"/>
      <c r="I38" s="223"/>
      <c r="J38" s="223"/>
      <c r="K38" s="223"/>
      <c r="L38" s="223"/>
    </row>
    <row r="39" spans="1:12" ht="12.75" hidden="1">
      <c r="A39" s="223"/>
      <c r="B39" s="223"/>
      <c r="C39" s="311"/>
      <c r="D39" s="223"/>
      <c r="E39" s="223"/>
      <c r="F39" s="223"/>
      <c r="G39" s="223"/>
      <c r="H39" s="223"/>
      <c r="I39" s="223"/>
      <c r="J39" s="223"/>
      <c r="K39" s="223"/>
      <c r="L39" s="223"/>
    </row>
    <row r="40" spans="1:12" ht="12.75" hidden="1">
      <c r="A40" s="223"/>
      <c r="B40" s="223"/>
      <c r="C40" s="311"/>
      <c r="D40" s="223"/>
      <c r="E40" s="223"/>
      <c r="F40" s="223"/>
      <c r="G40" s="223"/>
      <c r="H40" s="223"/>
      <c r="I40" s="223"/>
      <c r="J40" s="223"/>
      <c r="K40" s="223"/>
      <c r="L40" s="223"/>
    </row>
    <row r="41" spans="1:12" ht="12.75" hidden="1">
      <c r="A41" s="223"/>
      <c r="B41" s="223"/>
      <c r="C41" s="311"/>
      <c r="D41" s="223"/>
      <c r="E41" s="223"/>
      <c r="F41" s="223"/>
      <c r="G41" s="223"/>
      <c r="H41" s="223"/>
      <c r="I41" s="223"/>
      <c r="J41" s="223"/>
      <c r="K41" s="223"/>
      <c r="L41" s="223"/>
    </row>
    <row r="42" spans="1:12" ht="12.75" hidden="1">
      <c r="A42" s="223"/>
      <c r="B42" s="223"/>
      <c r="C42" s="223"/>
      <c r="D42" s="223"/>
      <c r="E42" s="223"/>
      <c r="F42" s="223"/>
      <c r="G42" s="223"/>
      <c r="H42" s="223"/>
      <c r="I42" s="223"/>
      <c r="J42" s="223"/>
      <c r="K42" s="223"/>
      <c r="L42" s="223"/>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sheetData>
  <sheetProtection password="C724" sheet="1" objects="1" scenarios="1"/>
  <mergeCells count="4">
    <mergeCell ref="C14:E14"/>
    <mergeCell ref="C28:D28"/>
    <mergeCell ref="C30:D30"/>
    <mergeCell ref="C17:D17"/>
  </mergeCells>
  <printOptions horizontalCentered="1"/>
  <pageMargins left="0.3937007874015748" right="0.3937007874015748" top="0.984251968503937" bottom="0.3937007874015748" header="0.3937007874015748" footer="0"/>
  <pageSetup blackAndWhite="1" fitToHeight="1" fitToWidth="1" horizontalDpi="600" verticalDpi="600" orientation="landscape" paperSize="9" r:id="rId4"/>
  <headerFooter alignWithMargins="0">
    <oddHeader>&amp;L&amp;"Arial,Fett"&amp;8NUTZUNG OHNE GEWÄHR&amp;C&amp;"Arial,Fett"&amp;8&amp;F&amp;R&amp;"Arial,Fett"&amp;8http://www.michael-brinkmann.de</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51">
    <pageSetUpPr fitToPage="1"/>
  </sheetPr>
  <dimension ref="A1:S163"/>
  <sheetViews>
    <sheetView showGridLines="0" showRowColHeaders="0" workbookViewId="0" topLeftCell="A73">
      <selection activeCell="F48" sqref="F48"/>
    </sheetView>
  </sheetViews>
  <sheetFormatPr defaultColWidth="11.421875" defaultRowHeight="12.75" zeroHeight="1"/>
  <cols>
    <col min="1" max="1" width="2.421875" style="210" bestFit="1" customWidth="1"/>
    <col min="2" max="3" width="11.421875" style="23" customWidth="1"/>
    <col min="4" max="4" width="12.421875" style="23" customWidth="1"/>
    <col min="5" max="5" width="16.57421875" style="23" customWidth="1"/>
    <col min="6" max="6" width="12.140625" style="23" customWidth="1"/>
    <col min="7" max="7" width="11.28125" style="23" customWidth="1"/>
    <col min="8" max="8" width="13.28125" style="22" customWidth="1"/>
    <col min="9" max="9" width="10.28125" style="22" customWidth="1"/>
    <col min="10" max="13" width="11.28125" style="22" customWidth="1"/>
    <col min="14" max="14" width="2.7109375" style="22" customWidth="1"/>
    <col min="15" max="16" width="6.8515625" style="233" hidden="1" customWidth="1"/>
    <col min="17" max="16384" width="0" style="23" hidden="1" customWidth="1"/>
  </cols>
  <sheetData>
    <row r="1" spans="1:19" ht="15.75">
      <c r="A1" s="230"/>
      <c r="B1" s="365" t="s">
        <v>373</v>
      </c>
      <c r="C1" s="365"/>
      <c r="D1" s="365"/>
      <c r="E1" s="365"/>
      <c r="F1" s="365"/>
      <c r="G1" s="223"/>
      <c r="H1" s="384"/>
      <c r="I1" s="385"/>
      <c r="J1" s="385"/>
      <c r="K1" s="385"/>
      <c r="L1" s="385"/>
      <c r="M1" s="223"/>
      <c r="N1" s="223"/>
      <c r="Q1" s="22"/>
      <c r="R1" s="22"/>
      <c r="S1" s="22"/>
    </row>
    <row r="2" spans="1:19" ht="15.75">
      <c r="A2" s="230"/>
      <c r="B2" s="543" t="s">
        <v>468</v>
      </c>
      <c r="C2" s="365"/>
      <c r="D2" s="365"/>
      <c r="E2" s="365"/>
      <c r="F2" s="365"/>
      <c r="G2" s="223"/>
      <c r="H2" s="384"/>
      <c r="I2" s="385"/>
      <c r="J2" s="385"/>
      <c r="K2" s="385"/>
      <c r="L2" s="385"/>
      <c r="M2" s="223"/>
      <c r="N2" s="223"/>
      <c r="Q2" s="22"/>
      <c r="R2" s="22"/>
      <c r="S2" s="22"/>
    </row>
    <row r="3" spans="1:19" ht="12.75">
      <c r="A3" s="386" t="s">
        <v>92</v>
      </c>
      <c r="B3" s="32" t="s">
        <v>317</v>
      </c>
      <c r="C3" s="5"/>
      <c r="D3" s="5"/>
      <c r="E3" s="5"/>
      <c r="F3" s="5"/>
      <c r="G3" s="223"/>
      <c r="H3" s="385"/>
      <c r="I3" s="385"/>
      <c r="J3" s="385"/>
      <c r="K3" s="385"/>
      <c r="L3" s="385"/>
      <c r="M3" s="223"/>
      <c r="N3" s="223"/>
      <c r="Q3" s="22"/>
      <c r="R3" s="22"/>
      <c r="S3" s="22"/>
    </row>
    <row r="4" spans="1:19" ht="12.75">
      <c r="A4" s="387"/>
      <c r="B4" s="42" t="s">
        <v>334</v>
      </c>
      <c r="C4" s="5"/>
      <c r="D4" s="5"/>
      <c r="E4" s="5"/>
      <c r="F4" s="5"/>
      <c r="G4" s="223"/>
      <c r="H4" s="385"/>
      <c r="I4" s="385"/>
      <c r="J4" s="385"/>
      <c r="K4" s="385"/>
      <c r="L4" s="385"/>
      <c r="M4" s="223"/>
      <c r="N4" s="223"/>
      <c r="Q4" s="22"/>
      <c r="R4" s="22"/>
      <c r="S4" s="22"/>
    </row>
    <row r="5" spans="1:19" ht="12.75">
      <c r="A5" s="386"/>
      <c r="B5" s="5" t="s">
        <v>319</v>
      </c>
      <c r="C5" s="5"/>
      <c r="D5" s="5"/>
      <c r="E5" s="5"/>
      <c r="F5" s="5"/>
      <c r="G5" s="223"/>
      <c r="H5" s="385"/>
      <c r="I5" s="385"/>
      <c r="J5" s="385"/>
      <c r="K5" s="385"/>
      <c r="L5" s="385"/>
      <c r="M5" s="223"/>
      <c r="N5" s="223"/>
      <c r="O5" s="234" t="s">
        <v>374</v>
      </c>
      <c r="P5" s="234"/>
      <c r="Q5" s="22"/>
      <c r="R5" s="22"/>
      <c r="S5" s="22"/>
    </row>
    <row r="6" spans="1:19" ht="12.75">
      <c r="A6" s="386"/>
      <c r="B6" s="5" t="s">
        <v>98</v>
      </c>
      <c r="C6" s="5"/>
      <c r="D6" s="5"/>
      <c r="E6" s="276">
        <f>COUNT(Einkommen!E8:K8)</f>
        <v>0</v>
      </c>
      <c r="F6" s="5"/>
      <c r="G6" s="223"/>
      <c r="H6" s="385"/>
      <c r="I6" s="385"/>
      <c r="J6" s="385"/>
      <c r="K6" s="385"/>
      <c r="L6" s="385"/>
      <c r="M6" s="223"/>
      <c r="N6" s="223"/>
      <c r="O6" s="235">
        <f>IF(E7="",E6,E7)</f>
        <v>0</v>
      </c>
      <c r="P6" s="234"/>
      <c r="Q6" s="22"/>
      <c r="R6" s="22"/>
      <c r="S6" s="22"/>
    </row>
    <row r="7" spans="1:19" ht="12.75">
      <c r="A7" s="386"/>
      <c r="B7" s="5" t="s">
        <v>372</v>
      </c>
      <c r="C7" s="5"/>
      <c r="D7" s="5"/>
      <c r="E7" s="237"/>
      <c r="F7" s="5"/>
      <c r="G7" s="223"/>
      <c r="H7" s="385"/>
      <c r="I7" s="385"/>
      <c r="J7" s="385"/>
      <c r="K7" s="385"/>
      <c r="L7" s="385"/>
      <c r="M7" s="223"/>
      <c r="N7" s="223"/>
      <c r="Q7" s="22"/>
      <c r="R7" s="22"/>
      <c r="S7" s="22"/>
    </row>
    <row r="8" spans="1:19" ht="12.75">
      <c r="A8" s="386"/>
      <c r="B8" s="5" t="s">
        <v>315</v>
      </c>
      <c r="C8" s="5"/>
      <c r="D8" s="5"/>
      <c r="E8" s="5"/>
      <c r="F8" s="44">
        <f>O6*140</f>
        <v>0</v>
      </c>
      <c r="G8" s="223"/>
      <c r="H8" s="385"/>
      <c r="I8" s="385"/>
      <c r="J8" s="385"/>
      <c r="K8" s="385"/>
      <c r="L8" s="385"/>
      <c r="M8" s="223"/>
      <c r="N8" s="223"/>
      <c r="Q8" s="22"/>
      <c r="R8" s="22"/>
      <c r="S8" s="22"/>
    </row>
    <row r="9" spans="1:19" ht="12.75">
      <c r="A9" s="386"/>
      <c r="B9" s="223"/>
      <c r="C9" s="223"/>
      <c r="D9" s="223"/>
      <c r="E9" s="223"/>
      <c r="F9" s="313"/>
      <c r="G9" s="223"/>
      <c r="H9" s="385"/>
      <c r="I9" s="385"/>
      <c r="J9" s="385"/>
      <c r="K9" s="385"/>
      <c r="L9" s="385"/>
      <c r="M9" s="223"/>
      <c r="N9" s="223"/>
      <c r="Q9" s="22"/>
      <c r="R9" s="22"/>
      <c r="S9" s="22"/>
    </row>
    <row r="10" spans="1:19" ht="12.75">
      <c r="A10" s="386" t="s">
        <v>93</v>
      </c>
      <c r="B10" s="32" t="s">
        <v>307</v>
      </c>
      <c r="C10" s="5"/>
      <c r="D10" s="5"/>
      <c r="E10" s="5"/>
      <c r="F10" s="44"/>
      <c r="G10" s="131">
        <f>IF(Daten!E16,"",Daten!E13)</f>
      </c>
      <c r="H10" s="131">
        <f>IF(Daten!F16,"",Daten!F13)</f>
      </c>
      <c r="I10" s="131">
        <f>IF(Daten!G16,"",Daten!G13)</f>
      </c>
      <c r="J10" s="131">
        <f>IF(Daten!H16,"",Daten!H13)</f>
      </c>
      <c r="K10" s="131">
        <f>IF(Daten!I16,"",Daten!I13)</f>
      </c>
      <c r="L10" s="131">
        <f>IF(Daten!J16,"",Daten!J13)</f>
      </c>
      <c r="M10" s="131">
        <f>IF(Daten!K16,"",Daten!K13)</f>
      </c>
      <c r="N10" s="223"/>
      <c r="Q10" s="22"/>
      <c r="R10" s="22"/>
      <c r="S10" s="22"/>
    </row>
    <row r="11" spans="1:19" ht="12.75">
      <c r="A11" s="386"/>
      <c r="B11" s="5" t="s">
        <v>331</v>
      </c>
      <c r="C11" s="5"/>
      <c r="D11" s="5"/>
      <c r="E11" s="5"/>
      <c r="F11" s="44"/>
      <c r="G11" s="27">
        <f>IF(G10="",0,140)</f>
        <v>0</v>
      </c>
      <c r="H11" s="27">
        <f aca="true" t="shared" si="0" ref="H11:M11">IF(H10="",0,140)</f>
        <v>0</v>
      </c>
      <c r="I11" s="27">
        <f t="shared" si="0"/>
        <v>0</v>
      </c>
      <c r="J11" s="27">
        <f t="shared" si="0"/>
        <v>0</v>
      </c>
      <c r="K11" s="27">
        <f t="shared" si="0"/>
        <v>0</v>
      </c>
      <c r="L11" s="27">
        <f t="shared" si="0"/>
        <v>0</v>
      </c>
      <c r="M11" s="27">
        <f t="shared" si="0"/>
        <v>0</v>
      </c>
      <c r="N11" s="223"/>
      <c r="Q11" s="22"/>
      <c r="R11" s="22"/>
      <c r="S11" s="22"/>
    </row>
    <row r="12" spans="1:19" ht="12.75">
      <c r="A12" s="386"/>
      <c r="B12" s="5" t="s">
        <v>324</v>
      </c>
      <c r="C12" s="5"/>
      <c r="D12" s="5"/>
      <c r="E12" s="5"/>
      <c r="F12" s="44"/>
      <c r="G12" s="27">
        <f>Einkommen!E45-Einkommen!E8</f>
        <v>0</v>
      </c>
      <c r="H12" s="27">
        <f>Einkommen!F45-Einkommen!F8</f>
        <v>0</v>
      </c>
      <c r="I12" s="27">
        <f>Einkommen!G41-Einkommen!G8</f>
        <v>0</v>
      </c>
      <c r="J12" s="27">
        <f>Einkommen!H41-Einkommen!H8</f>
        <v>0</v>
      </c>
      <c r="K12" s="27">
        <f>Einkommen!I41-Einkommen!I8</f>
        <v>0</v>
      </c>
      <c r="L12" s="27">
        <f>Einkommen!J41-Einkommen!J8</f>
        <v>0</v>
      </c>
      <c r="M12" s="27">
        <f>Einkommen!K41-Einkommen!K8</f>
        <v>0</v>
      </c>
      <c r="N12" s="223"/>
      <c r="Q12" s="22"/>
      <c r="R12" s="22"/>
      <c r="S12" s="22"/>
    </row>
    <row r="13" spans="1:19" ht="12.75">
      <c r="A13" s="386"/>
      <c r="B13" s="5" t="s">
        <v>308</v>
      </c>
      <c r="C13" s="5"/>
      <c r="D13" s="5"/>
      <c r="E13" s="5"/>
      <c r="F13" s="44"/>
      <c r="G13" s="27">
        <f>Vermögen!E30</f>
        <v>0</v>
      </c>
      <c r="H13" s="27">
        <f>Vermögen!F30</f>
        <v>0</v>
      </c>
      <c r="I13" s="27">
        <f>Vermögen!G30</f>
        <v>0</v>
      </c>
      <c r="J13" s="27">
        <f>Vermögen!H30</f>
        <v>0</v>
      </c>
      <c r="K13" s="27">
        <f>Vermögen!I30</f>
        <v>0</v>
      </c>
      <c r="L13" s="27">
        <f>Vermögen!J30</f>
        <v>0</v>
      </c>
      <c r="M13" s="27">
        <f>Vermögen!K30</f>
        <v>0</v>
      </c>
      <c r="N13" s="223"/>
      <c r="Q13" s="22"/>
      <c r="R13" s="22"/>
      <c r="S13" s="22"/>
    </row>
    <row r="14" spans="1:19" ht="12.75">
      <c r="A14" s="386"/>
      <c r="B14" s="5" t="s">
        <v>316</v>
      </c>
      <c r="C14" s="5"/>
      <c r="D14" s="5"/>
      <c r="E14" s="5"/>
      <c r="F14" s="44"/>
      <c r="G14" s="27">
        <f aca="true" t="shared" si="1" ref="G14:M14">IF(G11-G12-G13&lt;0,0,G11-G12-G13)</f>
        <v>0</v>
      </c>
      <c r="H14" s="27">
        <f t="shared" si="1"/>
        <v>0</v>
      </c>
      <c r="I14" s="27">
        <f t="shared" si="1"/>
        <v>0</v>
      </c>
      <c r="J14" s="27">
        <f t="shared" si="1"/>
        <v>0</v>
      </c>
      <c r="K14" s="27">
        <f t="shared" si="1"/>
        <v>0</v>
      </c>
      <c r="L14" s="27">
        <f t="shared" si="1"/>
        <v>0</v>
      </c>
      <c r="M14" s="27">
        <f t="shared" si="1"/>
        <v>0</v>
      </c>
      <c r="N14" s="223"/>
      <c r="Q14" s="22"/>
      <c r="R14" s="22"/>
      <c r="S14" s="22"/>
    </row>
    <row r="15" spans="1:19" ht="12.75">
      <c r="A15" s="386"/>
      <c r="B15" s="36" t="s">
        <v>375</v>
      </c>
      <c r="C15" s="5"/>
      <c r="D15" s="5"/>
      <c r="E15" s="5"/>
      <c r="F15" s="44"/>
      <c r="G15" s="223"/>
      <c r="H15" s="385"/>
      <c r="I15" s="385"/>
      <c r="J15" s="385"/>
      <c r="K15" s="385"/>
      <c r="L15" s="385"/>
      <c r="M15" s="223"/>
      <c r="N15" s="223"/>
      <c r="Q15" s="22"/>
      <c r="R15" s="22"/>
      <c r="S15" s="22"/>
    </row>
    <row r="16" spans="1:19" ht="12.75">
      <c r="A16" s="386"/>
      <c r="B16" s="32" t="s">
        <v>330</v>
      </c>
      <c r="C16" s="5"/>
      <c r="D16" s="5"/>
      <c r="E16" s="5"/>
      <c r="F16" s="44"/>
      <c r="G16" s="223"/>
      <c r="H16" s="385"/>
      <c r="I16" s="385"/>
      <c r="J16" s="385"/>
      <c r="K16" s="385"/>
      <c r="L16" s="385"/>
      <c r="M16" s="223"/>
      <c r="N16" s="223"/>
      <c r="Q16" s="22"/>
      <c r="R16" s="22"/>
      <c r="S16" s="22"/>
    </row>
    <row r="17" spans="1:19" ht="12.75">
      <c r="A17" s="386"/>
      <c r="B17" s="5" t="s">
        <v>328</v>
      </c>
      <c r="C17" s="5"/>
      <c r="D17" s="5"/>
      <c r="E17" s="5"/>
      <c r="F17" s="44">
        <f>SUM(G14:M14)</f>
        <v>0</v>
      </c>
      <c r="G17" s="223"/>
      <c r="H17" s="385"/>
      <c r="I17" s="385"/>
      <c r="J17" s="385"/>
      <c r="K17" s="385"/>
      <c r="L17" s="385"/>
      <c r="M17" s="223"/>
      <c r="N17" s="223"/>
      <c r="Q17" s="22"/>
      <c r="R17" s="22"/>
      <c r="S17" s="22"/>
    </row>
    <row r="18" spans="1:19" ht="12.75">
      <c r="A18" s="386"/>
      <c r="B18" s="223"/>
      <c r="C18" s="223"/>
      <c r="D18" s="223"/>
      <c r="E18" s="223"/>
      <c r="F18" s="223"/>
      <c r="G18" s="223"/>
      <c r="H18" s="385"/>
      <c r="I18" s="385"/>
      <c r="J18" s="385"/>
      <c r="K18" s="385"/>
      <c r="L18" s="385"/>
      <c r="M18" s="223"/>
      <c r="N18" s="223"/>
      <c r="Q18" s="22"/>
      <c r="R18" s="22"/>
      <c r="S18" s="22"/>
    </row>
    <row r="19" spans="1:19" ht="12.75">
      <c r="A19" s="386" t="s">
        <v>94</v>
      </c>
      <c r="B19" s="32" t="s">
        <v>350</v>
      </c>
      <c r="C19" s="5"/>
      <c r="D19" s="5"/>
      <c r="E19" s="5"/>
      <c r="F19" s="5"/>
      <c r="G19" s="223"/>
      <c r="H19" s="385"/>
      <c r="I19" s="385"/>
      <c r="J19" s="385"/>
      <c r="K19" s="385"/>
      <c r="L19" s="385"/>
      <c r="M19" s="223"/>
      <c r="N19" s="223"/>
      <c r="Q19" s="22"/>
      <c r="R19" s="22"/>
      <c r="S19" s="22"/>
    </row>
    <row r="20" spans="1:19" ht="12.75">
      <c r="A20" s="386"/>
      <c r="B20" s="5" t="s">
        <v>351</v>
      </c>
      <c r="C20" s="5"/>
      <c r="D20" s="5"/>
      <c r="E20" s="44">
        <f>Einkommen!C41+Einkommen!D41+Vermögen!C30+Vermögen!D30-Einkommen!C9-Einkommen!D9</f>
        <v>0</v>
      </c>
      <c r="F20" s="5"/>
      <c r="G20" s="223"/>
      <c r="H20" s="385"/>
      <c r="I20" s="385"/>
      <c r="J20" s="385"/>
      <c r="K20" s="385"/>
      <c r="L20" s="385"/>
      <c r="M20" s="223"/>
      <c r="N20" s="223"/>
      <c r="Q20" s="22"/>
      <c r="R20" s="22"/>
      <c r="S20" s="22"/>
    </row>
    <row r="21" spans="1:19" ht="12.75">
      <c r="A21" s="386"/>
      <c r="B21" s="5" t="s">
        <v>96</v>
      </c>
      <c r="C21" s="5"/>
      <c r="D21" s="5"/>
      <c r="E21" s="41">
        <f>Einkommen!C5+Einkommen!C6+Einkommen!D5+Einkommen!D6-Einkommen!C39-Einkommen!D39</f>
        <v>0</v>
      </c>
      <c r="F21" s="5"/>
      <c r="G21" s="223"/>
      <c r="H21" s="385"/>
      <c r="I21" s="385"/>
      <c r="J21" s="385"/>
      <c r="K21" s="385"/>
      <c r="L21" s="385"/>
      <c r="M21" s="223"/>
      <c r="N21" s="223"/>
      <c r="Q21" s="22"/>
      <c r="R21" s="22"/>
      <c r="S21" s="22"/>
    </row>
    <row r="22" spans="1:19" ht="12.75">
      <c r="A22" s="386"/>
      <c r="B22" s="36" t="s">
        <v>349</v>
      </c>
      <c r="C22" s="5"/>
      <c r="D22" s="5"/>
      <c r="E22" s="5"/>
      <c r="F22" s="5"/>
      <c r="G22" s="223"/>
      <c r="H22" s="385"/>
      <c r="I22" s="385"/>
      <c r="J22" s="385"/>
      <c r="K22" s="385"/>
      <c r="L22" s="385"/>
      <c r="M22" s="223"/>
      <c r="N22" s="223"/>
      <c r="Q22" s="22"/>
      <c r="R22" s="22"/>
      <c r="S22" s="22"/>
    </row>
    <row r="23" spans="1:19" ht="12.75">
      <c r="A23" s="386"/>
      <c r="B23" s="227"/>
      <c r="C23" s="223"/>
      <c r="D23" s="223"/>
      <c r="E23" s="223"/>
      <c r="F23" s="223"/>
      <c r="G23" s="223"/>
      <c r="H23" s="385"/>
      <c r="I23" s="385"/>
      <c r="J23" s="385"/>
      <c r="K23" s="385"/>
      <c r="L23" s="385"/>
      <c r="M23" s="223"/>
      <c r="N23" s="223"/>
      <c r="Q23" s="22"/>
      <c r="R23" s="22"/>
      <c r="S23" s="22"/>
    </row>
    <row r="24" spans="1:19" ht="12.75">
      <c r="A24" s="386" t="s">
        <v>95</v>
      </c>
      <c r="B24" s="32" t="s">
        <v>309</v>
      </c>
      <c r="C24" s="5"/>
      <c r="D24" s="5"/>
      <c r="E24" s="5"/>
      <c r="F24" s="5"/>
      <c r="G24" s="223"/>
      <c r="H24" s="385"/>
      <c r="I24" s="385"/>
      <c r="J24" s="385"/>
      <c r="K24" s="385"/>
      <c r="L24" s="385"/>
      <c r="M24" s="223"/>
      <c r="N24" s="223"/>
      <c r="Q24" s="22"/>
      <c r="R24" s="22"/>
      <c r="S24" s="22"/>
    </row>
    <row r="25" spans="1:19" ht="12.75">
      <c r="A25" s="386"/>
      <c r="B25" s="42" t="s">
        <v>310</v>
      </c>
      <c r="C25" s="5"/>
      <c r="D25" s="5"/>
      <c r="E25" s="5"/>
      <c r="F25" s="5"/>
      <c r="G25" s="223"/>
      <c r="H25" s="223"/>
      <c r="I25" s="223"/>
      <c r="J25" s="223"/>
      <c r="K25" s="223"/>
      <c r="L25" s="223"/>
      <c r="M25" s="223"/>
      <c r="N25" s="223"/>
      <c r="Q25" s="22"/>
      <c r="R25" s="22"/>
      <c r="S25" s="22"/>
    </row>
    <row r="26" spans="1:19" ht="12.75">
      <c r="A26" s="386"/>
      <c r="B26" s="42" t="s">
        <v>311</v>
      </c>
      <c r="C26" s="5"/>
      <c r="D26" s="5"/>
      <c r="E26" s="5"/>
      <c r="F26" s="5"/>
      <c r="G26" s="223"/>
      <c r="H26" s="223"/>
      <c r="I26" s="223"/>
      <c r="J26" s="223"/>
      <c r="K26" s="223"/>
      <c r="L26" s="223"/>
      <c r="M26" s="223"/>
      <c r="N26" s="223"/>
      <c r="Q26" s="22"/>
      <c r="R26" s="22"/>
      <c r="S26" s="22"/>
    </row>
    <row r="27" spans="1:19" ht="12.75">
      <c r="A27" s="386"/>
      <c r="B27" s="42" t="s">
        <v>332</v>
      </c>
      <c r="C27" s="5"/>
      <c r="D27" s="5"/>
      <c r="E27" s="5"/>
      <c r="F27" s="44"/>
      <c r="G27" s="223"/>
      <c r="H27" s="371" t="s">
        <v>305</v>
      </c>
      <c r="I27" s="223"/>
      <c r="J27" s="223"/>
      <c r="K27" s="223"/>
      <c r="L27" s="223"/>
      <c r="M27" s="223"/>
      <c r="N27" s="223"/>
      <c r="Q27" s="22"/>
      <c r="R27" s="22"/>
      <c r="S27" s="22"/>
    </row>
    <row r="28" spans="1:19" ht="12.75">
      <c r="A28" s="386"/>
      <c r="B28" s="5" t="s">
        <v>338</v>
      </c>
      <c r="C28" s="5"/>
      <c r="D28" s="5"/>
      <c r="E28" s="5"/>
      <c r="F28" s="41">
        <f>Anspruch!D9+Anspruch!E9</f>
        <v>0</v>
      </c>
      <c r="G28" s="223"/>
      <c r="H28" s="385" t="s">
        <v>303</v>
      </c>
      <c r="I28" s="385"/>
      <c r="J28" s="385"/>
      <c r="K28" s="385"/>
      <c r="L28" s="385"/>
      <c r="M28" s="223"/>
      <c r="N28" s="223"/>
      <c r="Q28" s="22"/>
      <c r="R28" s="22"/>
      <c r="S28" s="22"/>
    </row>
    <row r="29" spans="1:19" ht="12.75">
      <c r="A29" s="386"/>
      <c r="B29" s="277" t="s">
        <v>339</v>
      </c>
      <c r="C29" s="5"/>
      <c r="D29" s="5"/>
      <c r="E29" s="5"/>
      <c r="F29" s="41">
        <f>Anspruch!D10+Anspruch!E10</f>
        <v>0</v>
      </c>
      <c r="G29" s="223"/>
      <c r="H29" s="385" t="s">
        <v>304</v>
      </c>
      <c r="I29" s="385"/>
      <c r="J29" s="385"/>
      <c r="K29" s="385"/>
      <c r="L29" s="385"/>
      <c r="M29" s="223"/>
      <c r="N29" s="223"/>
      <c r="Q29" s="22"/>
      <c r="R29" s="22"/>
      <c r="S29" s="22"/>
    </row>
    <row r="30" spans="1:19" ht="12.75">
      <c r="A30" s="386"/>
      <c r="B30" s="277" t="s">
        <v>340</v>
      </c>
      <c r="C30" s="5"/>
      <c r="D30" s="5"/>
      <c r="E30" s="5"/>
      <c r="F30" s="41">
        <f>L37</f>
        <v>0</v>
      </c>
      <c r="G30" s="223"/>
      <c r="H30" s="390"/>
      <c r="I30" s="286" t="s">
        <v>288</v>
      </c>
      <c r="J30" s="286" t="s">
        <v>289</v>
      </c>
      <c r="K30" s="286" t="s">
        <v>291</v>
      </c>
      <c r="L30" s="287" t="s">
        <v>292</v>
      </c>
      <c r="M30" s="288" t="s">
        <v>293</v>
      </c>
      <c r="N30" s="223"/>
      <c r="Q30" s="22"/>
      <c r="R30" s="22"/>
      <c r="S30" s="22"/>
    </row>
    <row r="31" spans="1:19" ht="12.75">
      <c r="A31" s="386"/>
      <c r="B31" s="277" t="s">
        <v>341</v>
      </c>
      <c r="C31" s="5"/>
      <c r="D31" s="5"/>
      <c r="E31" s="5"/>
      <c r="F31" s="44">
        <f>SUM(F28:F30)</f>
        <v>0</v>
      </c>
      <c r="G31" s="223"/>
      <c r="H31" s="285" t="s">
        <v>290</v>
      </c>
      <c r="I31" s="208">
        <v>216</v>
      </c>
      <c r="J31" s="208">
        <v>50</v>
      </c>
      <c r="K31" s="289">
        <f>I31+J31</f>
        <v>266</v>
      </c>
      <c r="L31" s="287">
        <f>IF('ALG II'!N6,0,1)</f>
        <v>1</v>
      </c>
      <c r="M31" s="290">
        <f>K31*L31</f>
        <v>266</v>
      </c>
      <c r="N31" s="223"/>
      <c r="Q31" s="22"/>
      <c r="R31" s="22"/>
      <c r="S31" s="22"/>
    </row>
    <row r="32" spans="1:19" ht="12.75">
      <c r="A32" s="386"/>
      <c r="B32" s="32" t="s">
        <v>172</v>
      </c>
      <c r="C32" s="29" t="str">
        <f>IF(E20&lt;F31,"der untere Grenzbetrag wird nicht erreicht!","der untere Grenzbetrag wird erreicht")</f>
        <v>der untere Grenzbetrag wird erreicht</v>
      </c>
      <c r="D32" s="5"/>
      <c r="E32" s="5"/>
      <c r="F32" s="5"/>
      <c r="G32" s="223"/>
      <c r="H32" s="285" t="s">
        <v>287</v>
      </c>
      <c r="I32" s="208">
        <v>332</v>
      </c>
      <c r="J32" s="208">
        <v>64</v>
      </c>
      <c r="K32" s="289">
        <f>I32+J32</f>
        <v>396</v>
      </c>
      <c r="L32" s="287">
        <f>IF('ALG II'!N6,1,0)</f>
        <v>0</v>
      </c>
      <c r="M32" s="290">
        <f>K32*L32</f>
        <v>0</v>
      </c>
      <c r="N32" s="223"/>
      <c r="Q32" s="22"/>
      <c r="R32" s="22"/>
      <c r="S32" s="22"/>
    </row>
    <row r="33" spans="1:19" ht="12.75">
      <c r="A33" s="386"/>
      <c r="B33" s="223"/>
      <c r="C33" s="223"/>
      <c r="D33" s="223"/>
      <c r="E33" s="223"/>
      <c r="F33" s="223"/>
      <c r="G33" s="223"/>
      <c r="H33" s="285" t="s">
        <v>255</v>
      </c>
      <c r="I33" s="208">
        <v>67</v>
      </c>
      <c r="J33" s="208">
        <v>13</v>
      </c>
      <c r="K33" s="289">
        <f>I33+J33</f>
        <v>80</v>
      </c>
      <c r="L33" s="291">
        <f>O6</f>
        <v>0</v>
      </c>
      <c r="M33" s="290">
        <f>K33*L33</f>
        <v>0</v>
      </c>
      <c r="N33" s="223"/>
      <c r="Q33" s="22"/>
      <c r="R33" s="22"/>
      <c r="S33" s="22"/>
    </row>
    <row r="34" spans="1:19" ht="12.75">
      <c r="A34" s="386" t="s">
        <v>97</v>
      </c>
      <c r="B34" s="32" t="s">
        <v>312</v>
      </c>
      <c r="C34" s="5"/>
      <c r="D34" s="5"/>
      <c r="E34" s="5"/>
      <c r="F34" s="5"/>
      <c r="G34" s="223"/>
      <c r="H34" s="385"/>
      <c r="I34" s="391"/>
      <c r="J34" s="391"/>
      <c r="K34" s="391"/>
      <c r="L34" s="391"/>
      <c r="M34" s="392">
        <f>SUM(M31:M33)</f>
        <v>266</v>
      </c>
      <c r="N34" s="223"/>
      <c r="Q34" s="22"/>
      <c r="R34" s="22"/>
      <c r="S34" s="22"/>
    </row>
    <row r="35" spans="1:19" ht="12.75">
      <c r="A35" s="386"/>
      <c r="B35" s="42" t="s">
        <v>313</v>
      </c>
      <c r="C35" s="5"/>
      <c r="D35" s="5"/>
      <c r="E35" s="5"/>
      <c r="F35" s="5"/>
      <c r="G35" s="223"/>
      <c r="H35" s="385" t="s">
        <v>294</v>
      </c>
      <c r="I35" s="292" t="s">
        <v>298</v>
      </c>
      <c r="J35" s="292" t="s">
        <v>295</v>
      </c>
      <c r="K35" s="292" t="s">
        <v>296</v>
      </c>
      <c r="L35" s="292" t="s">
        <v>301</v>
      </c>
      <c r="M35" s="319"/>
      <c r="N35" s="223"/>
      <c r="Q35" s="22"/>
      <c r="R35" s="22"/>
      <c r="S35" s="22"/>
    </row>
    <row r="36" spans="1:19" ht="12.75">
      <c r="A36" s="386"/>
      <c r="B36" s="5" t="s">
        <v>314</v>
      </c>
      <c r="C36" s="5"/>
      <c r="D36" s="5"/>
      <c r="E36" s="5"/>
      <c r="F36" s="5"/>
      <c r="G36" s="223"/>
      <c r="H36" s="228"/>
      <c r="I36" s="293" t="s">
        <v>299</v>
      </c>
      <c r="J36" s="293" t="s">
        <v>297</v>
      </c>
      <c r="K36" s="293" t="s">
        <v>300</v>
      </c>
      <c r="L36" s="293" t="s">
        <v>302</v>
      </c>
      <c r="M36" s="319"/>
      <c r="N36" s="223"/>
      <c r="Q36" s="22"/>
      <c r="R36" s="22"/>
      <c r="S36" s="22"/>
    </row>
    <row r="37" spans="1:19" ht="12.75">
      <c r="A37" s="386"/>
      <c r="B37" s="5" t="s">
        <v>381</v>
      </c>
      <c r="C37" s="5"/>
      <c r="D37" s="5"/>
      <c r="E37" s="5"/>
      <c r="F37" s="5"/>
      <c r="G37" s="223"/>
      <c r="H37" s="223"/>
      <c r="I37" s="294">
        <f>'ALG II'!K67</f>
        <v>0</v>
      </c>
      <c r="J37" s="295">
        <f>M31+M32</f>
        <v>266</v>
      </c>
      <c r="K37" s="295">
        <f>M34</f>
        <v>266</v>
      </c>
      <c r="L37" s="296">
        <f>I37*(J37/K37)</f>
        <v>0</v>
      </c>
      <c r="M37" s="393"/>
      <c r="N37" s="223"/>
      <c r="Q37" s="22"/>
      <c r="R37" s="22"/>
      <c r="S37" s="22"/>
    </row>
    <row r="38" spans="1:19" ht="12.75">
      <c r="A38" s="386"/>
      <c r="B38" s="5" t="s">
        <v>342</v>
      </c>
      <c r="C38" s="5"/>
      <c r="D38" s="5"/>
      <c r="E38" s="41">
        <f>F31</f>
        <v>0</v>
      </c>
      <c r="F38" s="5"/>
      <c r="G38" s="223"/>
      <c r="H38" s="385"/>
      <c r="I38" s="385"/>
      <c r="J38" s="385"/>
      <c r="K38" s="385"/>
      <c r="L38" s="385"/>
      <c r="M38" s="223"/>
      <c r="N38" s="223"/>
      <c r="Q38" s="22"/>
      <c r="R38" s="22"/>
      <c r="S38" s="22"/>
    </row>
    <row r="39" spans="1:19" ht="12.75">
      <c r="A39" s="386"/>
      <c r="B39" s="278" t="s">
        <v>376</v>
      </c>
      <c r="C39" s="43"/>
      <c r="D39" s="5"/>
      <c r="E39" s="41">
        <f>F17</f>
        <v>0</v>
      </c>
      <c r="F39" s="5"/>
      <c r="G39" s="223"/>
      <c r="H39" s="385"/>
      <c r="I39" s="385"/>
      <c r="J39" s="385"/>
      <c r="K39" s="385"/>
      <c r="L39" s="385"/>
      <c r="M39" s="223"/>
      <c r="N39" s="223"/>
      <c r="Q39" s="22"/>
      <c r="R39" s="22"/>
      <c r="S39" s="22"/>
    </row>
    <row r="40" spans="1:19" ht="12.75">
      <c r="A40" s="386"/>
      <c r="B40" s="277" t="s">
        <v>343</v>
      </c>
      <c r="C40" s="5"/>
      <c r="D40" s="5"/>
      <c r="E40" s="44">
        <f>E38+E39</f>
        <v>0</v>
      </c>
      <c r="F40" s="5"/>
      <c r="G40" s="223"/>
      <c r="H40" s="385"/>
      <c r="I40" s="385"/>
      <c r="J40" s="385"/>
      <c r="K40" s="385"/>
      <c r="L40" s="385"/>
      <c r="M40" s="223"/>
      <c r="N40" s="223"/>
      <c r="Q40" s="22"/>
      <c r="R40" s="22"/>
      <c r="S40" s="22"/>
    </row>
    <row r="41" spans="1:19" ht="12" customHeight="1">
      <c r="A41" s="386"/>
      <c r="B41" s="32" t="s">
        <v>172</v>
      </c>
      <c r="C41" s="274" t="str">
        <f>IF(E20&gt;E40,"der obere Grenzbetrag wird überschritten!","der obere Grenzbetrag wird nicht überschritten")</f>
        <v>der obere Grenzbetrag wird nicht überschritten</v>
      </c>
      <c r="D41" s="5"/>
      <c r="E41" s="44"/>
      <c r="F41" s="5"/>
      <c r="G41" s="223"/>
      <c r="H41" s="385"/>
      <c r="I41" s="385"/>
      <c r="J41" s="385"/>
      <c r="K41" s="385"/>
      <c r="L41" s="385"/>
      <c r="M41" s="223"/>
      <c r="N41" s="223"/>
      <c r="Q41" s="22"/>
      <c r="R41" s="22"/>
      <c r="S41" s="22"/>
    </row>
    <row r="42" spans="1:19" ht="12.75">
      <c r="A42" s="386"/>
      <c r="B42" s="223"/>
      <c r="C42" s="223"/>
      <c r="D42" s="223"/>
      <c r="E42" s="223"/>
      <c r="F42" s="223"/>
      <c r="G42" s="223"/>
      <c r="H42" s="385"/>
      <c r="I42" s="385"/>
      <c r="J42" s="385"/>
      <c r="K42" s="385"/>
      <c r="L42" s="385"/>
      <c r="M42" s="223"/>
      <c r="N42" s="223"/>
      <c r="Q42" s="22"/>
      <c r="R42" s="22"/>
      <c r="S42" s="22"/>
    </row>
    <row r="43" spans="1:19" ht="12.75">
      <c r="A43" s="386" t="s">
        <v>99</v>
      </c>
      <c r="B43" s="32" t="s">
        <v>318</v>
      </c>
      <c r="C43" s="5"/>
      <c r="D43" s="5"/>
      <c r="E43" s="5"/>
      <c r="F43" s="5"/>
      <c r="G43" s="223"/>
      <c r="H43" s="385"/>
      <c r="I43" s="385"/>
      <c r="J43" s="385"/>
      <c r="K43" s="385"/>
      <c r="L43" s="385"/>
      <c r="M43" s="223"/>
      <c r="N43" s="223"/>
      <c r="Q43" s="22"/>
      <c r="R43" s="22"/>
      <c r="S43" s="22"/>
    </row>
    <row r="44" spans="1:19" ht="12.75">
      <c r="A44" s="386"/>
      <c r="B44" s="32"/>
      <c r="C44" s="5"/>
      <c r="D44" s="5"/>
      <c r="E44" s="5"/>
      <c r="F44" s="5"/>
      <c r="G44" s="223"/>
      <c r="H44" s="385"/>
      <c r="I44" s="385"/>
      <c r="J44" s="385"/>
      <c r="K44" s="385"/>
      <c r="L44" s="385"/>
      <c r="M44" s="223"/>
      <c r="N44" s="223"/>
      <c r="Q44" s="22"/>
      <c r="R44" s="22"/>
      <c r="S44" s="22"/>
    </row>
    <row r="45" spans="1:19" ht="12.75">
      <c r="A45" s="386"/>
      <c r="B45" s="29" t="s">
        <v>336</v>
      </c>
      <c r="C45" s="5"/>
      <c r="D45" s="5"/>
      <c r="E45" s="5"/>
      <c r="F45" s="5"/>
      <c r="G45" s="223"/>
      <c r="H45" s="385"/>
      <c r="I45" s="385"/>
      <c r="J45" s="385"/>
      <c r="K45" s="385"/>
      <c r="L45" s="385"/>
      <c r="M45" s="223"/>
      <c r="N45" s="223"/>
      <c r="Q45" s="22"/>
      <c r="R45" s="22"/>
      <c r="S45" s="22"/>
    </row>
    <row r="46" spans="1:19" ht="12.75">
      <c r="A46" s="386"/>
      <c r="B46" s="29" t="s">
        <v>337</v>
      </c>
      <c r="C46" s="5"/>
      <c r="D46" s="5"/>
      <c r="E46" s="5"/>
      <c r="F46" s="5"/>
      <c r="G46" s="223"/>
      <c r="H46" s="385"/>
      <c r="I46" s="385"/>
      <c r="J46" s="385"/>
      <c r="K46" s="385"/>
      <c r="L46" s="385"/>
      <c r="M46" s="223"/>
      <c r="N46" s="223"/>
      <c r="Q46" s="22"/>
      <c r="R46" s="22"/>
      <c r="S46" s="22"/>
    </row>
    <row r="47" spans="1:19" ht="12.75">
      <c r="A47" s="386"/>
      <c r="B47" s="5" t="s">
        <v>320</v>
      </c>
      <c r="C47" s="5"/>
      <c r="D47" s="5"/>
      <c r="E47" s="5"/>
      <c r="F47" s="41">
        <f>Einkommen!C19+Einkommen!D19-Einkommen!C5-Einkommen!C6-Einkommen!D5-Einkommen!D6-Einkommen!C9-Einkommen!D9</f>
        <v>0</v>
      </c>
      <c r="G47" s="223"/>
      <c r="H47" s="385"/>
      <c r="I47" s="385"/>
      <c r="J47" s="385"/>
      <c r="K47" s="385"/>
      <c r="L47" s="385"/>
      <c r="M47" s="223"/>
      <c r="N47" s="223"/>
      <c r="Q47" s="22"/>
      <c r="R47" s="22"/>
      <c r="S47" s="22"/>
    </row>
    <row r="48" spans="1:19" ht="12.75">
      <c r="A48" s="386"/>
      <c r="B48" s="5" t="s">
        <v>321</v>
      </c>
      <c r="C48" s="5"/>
      <c r="D48" s="5"/>
      <c r="E48" s="5"/>
      <c r="F48" s="41">
        <f>Vermögen!C30</f>
        <v>0</v>
      </c>
      <c r="G48" s="223"/>
      <c r="H48" s="385"/>
      <c r="I48" s="385"/>
      <c r="J48" s="385"/>
      <c r="K48" s="385"/>
      <c r="L48" s="385"/>
      <c r="M48" s="223"/>
      <c r="N48" s="223"/>
      <c r="Q48" s="22"/>
      <c r="R48" s="22"/>
      <c r="S48" s="22"/>
    </row>
    <row r="49" spans="1:19" ht="12.75">
      <c r="A49" s="386"/>
      <c r="B49" s="5" t="s">
        <v>322</v>
      </c>
      <c r="C49" s="5"/>
      <c r="D49" s="5"/>
      <c r="E49" s="5"/>
      <c r="F49" s="41">
        <f>F47+F48</f>
        <v>0</v>
      </c>
      <c r="G49" s="223"/>
      <c r="H49" s="385"/>
      <c r="I49" s="394"/>
      <c r="J49" s="385"/>
      <c r="K49" s="385"/>
      <c r="L49" s="385"/>
      <c r="M49" s="223"/>
      <c r="N49" s="223"/>
      <c r="Q49" s="22"/>
      <c r="R49" s="22"/>
      <c r="S49" s="22"/>
    </row>
    <row r="50" spans="1:19" ht="12.75">
      <c r="A50" s="386"/>
      <c r="B50" s="5" t="s">
        <v>344</v>
      </c>
      <c r="C50" s="5"/>
      <c r="D50" s="5"/>
      <c r="E50" s="5"/>
      <c r="F50" s="41">
        <f>F31</f>
        <v>0</v>
      </c>
      <c r="G50" s="223"/>
      <c r="H50" s="385"/>
      <c r="I50" s="394"/>
      <c r="J50" s="385"/>
      <c r="K50" s="385"/>
      <c r="L50" s="385"/>
      <c r="M50" s="223"/>
      <c r="N50" s="223"/>
      <c r="Q50" s="22"/>
      <c r="R50" s="22"/>
      <c r="S50" s="22"/>
    </row>
    <row r="51" spans="1:19" ht="12.75">
      <c r="A51" s="386"/>
      <c r="B51" s="5" t="s">
        <v>325</v>
      </c>
      <c r="C51" s="5"/>
      <c r="D51" s="5"/>
      <c r="E51" s="5"/>
      <c r="F51" s="44">
        <f>IF(F49-F50&gt;0,F49-F50,0)</f>
        <v>0</v>
      </c>
      <c r="G51" s="223"/>
      <c r="H51" s="385"/>
      <c r="I51" s="385"/>
      <c r="J51" s="385"/>
      <c r="K51" s="385"/>
      <c r="L51" s="385"/>
      <c r="M51" s="223"/>
      <c r="N51" s="223"/>
      <c r="Q51" s="22"/>
      <c r="R51" s="22"/>
      <c r="S51" s="22"/>
    </row>
    <row r="52" spans="1:19" ht="12.75">
      <c r="A52" s="386"/>
      <c r="B52" s="5"/>
      <c r="C52" s="5"/>
      <c r="D52" s="5"/>
      <c r="E52" s="5"/>
      <c r="F52" s="44"/>
      <c r="G52" s="223"/>
      <c r="H52" s="385"/>
      <c r="I52" s="385"/>
      <c r="J52" s="385"/>
      <c r="K52" s="385"/>
      <c r="L52" s="385"/>
      <c r="M52" s="223"/>
      <c r="N52" s="223"/>
      <c r="Q52" s="22"/>
      <c r="R52" s="22"/>
      <c r="S52" s="22"/>
    </row>
    <row r="53" spans="1:19" ht="12.75">
      <c r="A53" s="386"/>
      <c r="B53" s="29" t="s">
        <v>383</v>
      </c>
      <c r="C53" s="5"/>
      <c r="D53" s="5"/>
      <c r="E53" s="5"/>
      <c r="F53" s="44"/>
      <c r="G53" s="223"/>
      <c r="H53" s="385"/>
      <c r="I53" s="385"/>
      <c r="J53" s="385"/>
      <c r="K53" s="385"/>
      <c r="L53" s="385"/>
      <c r="M53" s="223"/>
      <c r="N53" s="223"/>
      <c r="Q53" s="22"/>
      <c r="R53" s="22"/>
      <c r="S53" s="22"/>
    </row>
    <row r="54" spans="1:19" ht="12.75">
      <c r="A54" s="386"/>
      <c r="B54" s="29" t="s">
        <v>384</v>
      </c>
      <c r="C54" s="5"/>
      <c r="D54" s="5"/>
      <c r="E54" s="5"/>
      <c r="F54" s="44"/>
      <c r="G54" s="223"/>
      <c r="H54" s="385"/>
      <c r="I54" s="385"/>
      <c r="J54" s="385"/>
      <c r="K54" s="385"/>
      <c r="L54" s="385"/>
      <c r="M54" s="223"/>
      <c r="N54" s="223"/>
      <c r="Q54" s="22"/>
      <c r="R54" s="22"/>
      <c r="S54" s="22"/>
    </row>
    <row r="55" spans="1:19" ht="12.75">
      <c r="A55" s="386"/>
      <c r="B55" s="29" t="s">
        <v>385</v>
      </c>
      <c r="C55" s="5"/>
      <c r="D55" s="5"/>
      <c r="E55" s="5"/>
      <c r="F55" s="44"/>
      <c r="G55" s="223"/>
      <c r="H55" s="385"/>
      <c r="I55" s="385"/>
      <c r="J55" s="385"/>
      <c r="K55" s="385"/>
      <c r="L55" s="385"/>
      <c r="M55" s="223"/>
      <c r="N55" s="223"/>
      <c r="Q55" s="22"/>
      <c r="R55" s="22"/>
      <c r="S55" s="22"/>
    </row>
    <row r="56" spans="1:19" ht="12.75">
      <c r="A56" s="386"/>
      <c r="B56" s="5" t="s">
        <v>389</v>
      </c>
      <c r="C56" s="5"/>
      <c r="D56" s="5"/>
      <c r="E56" s="5"/>
      <c r="F56" s="279">
        <f>F49</f>
        <v>0</v>
      </c>
      <c r="G56" s="223"/>
      <c r="H56" s="385"/>
      <c r="I56" s="385"/>
      <c r="J56" s="385"/>
      <c r="K56" s="385"/>
      <c r="L56" s="385"/>
      <c r="M56" s="223"/>
      <c r="N56" s="223"/>
      <c r="Q56" s="22"/>
      <c r="R56" s="22"/>
      <c r="S56" s="22"/>
    </row>
    <row r="57" spans="1:19" ht="12.75">
      <c r="A57" s="386"/>
      <c r="B57" s="5" t="s">
        <v>390</v>
      </c>
      <c r="C57" s="5"/>
      <c r="D57" s="5"/>
      <c r="E57" s="5"/>
      <c r="F57" s="279">
        <f>IF(F56&gt;F50,E21,0)</f>
        <v>0</v>
      </c>
      <c r="G57" s="223"/>
      <c r="H57" s="385"/>
      <c r="I57" s="385"/>
      <c r="J57" s="385"/>
      <c r="K57" s="385"/>
      <c r="L57" s="385"/>
      <c r="M57" s="223"/>
      <c r="N57" s="223"/>
      <c r="Q57" s="22"/>
      <c r="R57" s="22"/>
      <c r="S57" s="22"/>
    </row>
    <row r="58" spans="1:19" ht="12.75">
      <c r="A58" s="386"/>
      <c r="B58" s="5" t="s">
        <v>344</v>
      </c>
      <c r="C58" s="5"/>
      <c r="D58" s="5"/>
      <c r="E58" s="5"/>
      <c r="F58" s="279">
        <f>F31</f>
        <v>0</v>
      </c>
      <c r="G58" s="223"/>
      <c r="H58" s="385"/>
      <c r="I58" s="385"/>
      <c r="J58" s="385"/>
      <c r="K58" s="385"/>
      <c r="L58" s="385"/>
      <c r="M58" s="223"/>
      <c r="N58" s="223"/>
      <c r="Q58" s="22"/>
      <c r="R58" s="22"/>
      <c r="S58" s="22"/>
    </row>
    <row r="59" spans="1:19" ht="12.75">
      <c r="A59" s="386"/>
      <c r="B59" s="5" t="s">
        <v>325</v>
      </c>
      <c r="C59" s="5"/>
      <c r="D59" s="5"/>
      <c r="E59" s="5"/>
      <c r="F59" s="279">
        <f>IF(F56+F57-F58&lt;0,0,F56+F57-F58)</f>
        <v>0</v>
      </c>
      <c r="G59" s="223"/>
      <c r="H59" s="385"/>
      <c r="I59" s="385"/>
      <c r="J59" s="385"/>
      <c r="K59" s="385"/>
      <c r="L59" s="385"/>
      <c r="M59" s="223"/>
      <c r="N59" s="223"/>
      <c r="Q59" s="22"/>
      <c r="R59" s="22"/>
      <c r="S59" s="22"/>
    </row>
    <row r="60" spans="1:19" ht="12.75">
      <c r="A60" s="386"/>
      <c r="B60" s="5" t="s">
        <v>386</v>
      </c>
      <c r="C60" s="5"/>
      <c r="D60" s="5"/>
      <c r="E60" s="5"/>
      <c r="F60" s="279">
        <f>F51</f>
        <v>0</v>
      </c>
      <c r="G60" s="223"/>
      <c r="H60" s="385"/>
      <c r="I60" s="385"/>
      <c r="J60" s="385"/>
      <c r="K60" s="385"/>
      <c r="L60" s="385"/>
      <c r="M60" s="223"/>
      <c r="N60" s="223"/>
      <c r="Q60" s="22"/>
      <c r="R60" s="22"/>
      <c r="S60" s="22"/>
    </row>
    <row r="61" spans="1:19" ht="12.75">
      <c r="A61" s="386"/>
      <c r="B61" s="5" t="s">
        <v>382</v>
      </c>
      <c r="C61" s="5"/>
      <c r="D61" s="5"/>
      <c r="E61" s="5"/>
      <c r="F61" s="279">
        <f>F59-F60</f>
        <v>0</v>
      </c>
      <c r="G61" s="223"/>
      <c r="H61" s="385"/>
      <c r="I61" s="385"/>
      <c r="J61" s="385"/>
      <c r="K61" s="385"/>
      <c r="L61" s="385"/>
      <c r="M61" s="223"/>
      <c r="N61" s="223"/>
      <c r="Q61" s="22"/>
      <c r="R61" s="22"/>
      <c r="S61" s="22"/>
    </row>
    <row r="62" spans="1:19" ht="12.75">
      <c r="A62" s="386"/>
      <c r="B62" s="5"/>
      <c r="C62" s="280" t="s">
        <v>139</v>
      </c>
      <c r="D62" s="281">
        <f>ROUNDDOWN(F61/10,0)</f>
        <v>0</v>
      </c>
      <c r="E62" s="43" t="s">
        <v>138</v>
      </c>
      <c r="F62" s="44">
        <f>D62*7</f>
        <v>0</v>
      </c>
      <c r="G62" s="223"/>
      <c r="H62" s="385"/>
      <c r="I62" s="385"/>
      <c r="J62" s="385"/>
      <c r="K62" s="385"/>
      <c r="L62" s="385"/>
      <c r="M62" s="223"/>
      <c r="N62" s="223"/>
      <c r="Q62" s="22"/>
      <c r="R62" s="22"/>
      <c r="S62" s="22"/>
    </row>
    <row r="63" spans="1:19" ht="12.75">
      <c r="A63" s="386"/>
      <c r="B63" s="5"/>
      <c r="C63" s="5"/>
      <c r="D63" s="5"/>
      <c r="E63" s="5"/>
      <c r="F63" s="41"/>
      <c r="G63" s="223"/>
      <c r="H63" s="385"/>
      <c r="I63" s="394"/>
      <c r="J63" s="385"/>
      <c r="K63" s="385"/>
      <c r="L63" s="385"/>
      <c r="M63" s="223"/>
      <c r="N63" s="223"/>
      <c r="Q63" s="22"/>
      <c r="R63" s="22"/>
      <c r="S63" s="22"/>
    </row>
    <row r="64" spans="1:19" ht="12.75">
      <c r="A64" s="386"/>
      <c r="B64" s="29" t="s">
        <v>387</v>
      </c>
      <c r="C64" s="5"/>
      <c r="D64" s="5"/>
      <c r="E64" s="5"/>
      <c r="F64" s="41"/>
      <c r="G64" s="223"/>
      <c r="H64" s="385"/>
      <c r="I64" s="385"/>
      <c r="J64" s="385"/>
      <c r="K64" s="385"/>
      <c r="L64" s="385"/>
      <c r="M64" s="223"/>
      <c r="N64" s="223"/>
      <c r="Q64" s="22"/>
      <c r="R64" s="22"/>
      <c r="S64" s="22"/>
    </row>
    <row r="65" spans="1:19" ht="12.75">
      <c r="A65" s="386"/>
      <c r="B65" s="29" t="s">
        <v>378</v>
      </c>
      <c r="C65" s="5"/>
      <c r="D65" s="5"/>
      <c r="E65" s="5"/>
      <c r="F65" s="41"/>
      <c r="G65" s="223"/>
      <c r="H65" s="385"/>
      <c r="I65" s="385"/>
      <c r="J65" s="385"/>
      <c r="K65" s="385"/>
      <c r="L65" s="385"/>
      <c r="M65" s="223"/>
      <c r="N65" s="223"/>
      <c r="Q65" s="22"/>
      <c r="R65" s="22"/>
      <c r="S65" s="22"/>
    </row>
    <row r="66" spans="1:19" ht="12" customHeight="1">
      <c r="A66" s="386"/>
      <c r="B66" s="29" t="s">
        <v>379</v>
      </c>
      <c r="C66" s="5"/>
      <c r="D66" s="5"/>
      <c r="E66" s="5"/>
      <c r="F66" s="41"/>
      <c r="G66" s="223"/>
      <c r="H66" s="385"/>
      <c r="I66" s="394"/>
      <c r="J66" s="385"/>
      <c r="K66" s="385"/>
      <c r="L66" s="385"/>
      <c r="M66" s="223"/>
      <c r="N66" s="223"/>
      <c r="Q66" s="22"/>
      <c r="R66" s="22"/>
      <c r="S66" s="22"/>
    </row>
    <row r="67" spans="1:19" ht="12" customHeight="1">
      <c r="A67" s="386"/>
      <c r="B67" s="29" t="s">
        <v>380</v>
      </c>
      <c r="C67" s="5"/>
      <c r="D67" s="5"/>
      <c r="E67" s="5"/>
      <c r="F67" s="41"/>
      <c r="G67" s="223"/>
      <c r="H67" s="385"/>
      <c r="I67" s="394"/>
      <c r="J67" s="385"/>
      <c r="K67" s="385"/>
      <c r="L67" s="385"/>
      <c r="M67" s="223"/>
      <c r="N67" s="223"/>
      <c r="Q67" s="22"/>
      <c r="R67" s="22"/>
      <c r="S67" s="22"/>
    </row>
    <row r="68" spans="1:19" ht="12.75">
      <c r="A68" s="386"/>
      <c r="B68" s="5" t="s">
        <v>345</v>
      </c>
      <c r="C68" s="5"/>
      <c r="D68" s="5"/>
      <c r="E68" s="41">
        <f>E21</f>
        <v>0</v>
      </c>
      <c r="F68" s="5"/>
      <c r="G68" s="223"/>
      <c r="H68" s="385"/>
      <c r="I68" s="385"/>
      <c r="J68" s="385"/>
      <c r="K68" s="385"/>
      <c r="L68" s="385"/>
      <c r="M68" s="223"/>
      <c r="N68" s="223"/>
      <c r="Q68" s="22"/>
      <c r="R68" s="22"/>
      <c r="S68" s="22"/>
    </row>
    <row r="69" spans="1:19" ht="12.75">
      <c r="A69" s="386"/>
      <c r="B69" s="5" t="s">
        <v>391</v>
      </c>
      <c r="C69" s="5"/>
      <c r="D69" s="5"/>
      <c r="E69" s="41">
        <f>IF(F49&lt;F31,F49,0)</f>
        <v>0</v>
      </c>
      <c r="F69" s="5"/>
      <c r="G69" s="223"/>
      <c r="H69" s="385"/>
      <c r="I69" s="385"/>
      <c r="J69" s="385"/>
      <c r="K69" s="385"/>
      <c r="L69" s="385"/>
      <c r="M69" s="223"/>
      <c r="N69" s="223"/>
      <c r="Q69" s="22"/>
      <c r="R69" s="22"/>
      <c r="S69" s="22"/>
    </row>
    <row r="70" spans="1:19" ht="12.75">
      <c r="A70" s="386"/>
      <c r="B70" s="5" t="s">
        <v>377</v>
      </c>
      <c r="C70" s="5"/>
      <c r="D70" s="5"/>
      <c r="E70" s="41"/>
      <c r="F70" s="5"/>
      <c r="G70" s="223"/>
      <c r="H70" s="385"/>
      <c r="I70" s="385"/>
      <c r="J70" s="385"/>
      <c r="K70" s="385"/>
      <c r="L70" s="385"/>
      <c r="M70" s="223"/>
      <c r="N70" s="223"/>
      <c r="Q70" s="22"/>
      <c r="R70" s="22"/>
      <c r="S70" s="22"/>
    </row>
    <row r="71" spans="1:19" ht="12.75">
      <c r="A71" s="386"/>
      <c r="B71" s="5" t="s">
        <v>392</v>
      </c>
      <c r="C71" s="5"/>
      <c r="D71" s="5"/>
      <c r="E71" s="41">
        <f>E68+E69</f>
        <v>0</v>
      </c>
      <c r="F71" s="5"/>
      <c r="G71" s="223"/>
      <c r="H71" s="385"/>
      <c r="I71" s="385"/>
      <c r="J71" s="385"/>
      <c r="K71" s="385"/>
      <c r="L71" s="385"/>
      <c r="M71" s="223"/>
      <c r="N71" s="223"/>
      <c r="Q71" s="22"/>
      <c r="R71" s="22"/>
      <c r="S71" s="22"/>
    </row>
    <row r="72" spans="1:19" ht="12.75">
      <c r="A72" s="386"/>
      <c r="B72" s="5" t="s">
        <v>344</v>
      </c>
      <c r="C72" s="5"/>
      <c r="D72" s="5"/>
      <c r="E72" s="41">
        <f>F31</f>
        <v>0</v>
      </c>
      <c r="F72" s="5"/>
      <c r="G72" s="223"/>
      <c r="H72" s="385"/>
      <c r="I72" s="394"/>
      <c r="J72" s="385"/>
      <c r="K72" s="385"/>
      <c r="L72" s="385"/>
      <c r="M72" s="223"/>
      <c r="N72" s="223"/>
      <c r="Q72" s="22"/>
      <c r="R72" s="22"/>
      <c r="S72" s="22"/>
    </row>
    <row r="73" spans="1:19" ht="12.75">
      <c r="A73" s="386"/>
      <c r="B73" s="277" t="s">
        <v>326</v>
      </c>
      <c r="C73" s="5"/>
      <c r="D73" s="5"/>
      <c r="E73" s="41">
        <f>IF(E71-E72&gt;0,E71-E72,0)</f>
        <v>0</v>
      </c>
      <c r="F73" s="5"/>
      <c r="G73" s="223"/>
      <c r="H73" s="385"/>
      <c r="I73" s="385"/>
      <c r="J73" s="385"/>
      <c r="K73" s="385"/>
      <c r="L73" s="385"/>
      <c r="M73" s="223"/>
      <c r="N73" s="223"/>
      <c r="Q73" s="22"/>
      <c r="R73" s="22"/>
      <c r="S73" s="22"/>
    </row>
    <row r="74" spans="1:19" ht="12.75">
      <c r="A74" s="386"/>
      <c r="B74" s="5"/>
      <c r="C74" s="280" t="s">
        <v>139</v>
      </c>
      <c r="D74" s="281">
        <f>ROUNDDOWN(E73/10,0)</f>
        <v>0</v>
      </c>
      <c r="E74" s="43" t="s">
        <v>138</v>
      </c>
      <c r="F74" s="44">
        <f>D74*7</f>
        <v>0</v>
      </c>
      <c r="G74" s="223"/>
      <c r="H74" s="385"/>
      <c r="I74" s="394"/>
      <c r="J74" s="385"/>
      <c r="K74" s="385"/>
      <c r="L74" s="385"/>
      <c r="M74" s="223"/>
      <c r="N74" s="223"/>
      <c r="Q74" s="22"/>
      <c r="R74" s="22"/>
      <c r="S74" s="22"/>
    </row>
    <row r="75" spans="1:19" ht="12.75">
      <c r="A75" s="386"/>
      <c r="B75" s="5"/>
      <c r="C75" s="280"/>
      <c r="D75" s="281"/>
      <c r="E75" s="43"/>
      <c r="F75" s="44"/>
      <c r="G75" s="223"/>
      <c r="H75" s="385"/>
      <c r="I75" s="385"/>
      <c r="J75" s="385"/>
      <c r="K75" s="385"/>
      <c r="L75" s="385"/>
      <c r="M75" s="223"/>
      <c r="N75" s="223"/>
      <c r="Q75" s="22"/>
      <c r="R75" s="22"/>
      <c r="S75" s="22"/>
    </row>
    <row r="76" spans="1:19" ht="12.75">
      <c r="A76" s="386"/>
      <c r="B76" s="29" t="s">
        <v>388</v>
      </c>
      <c r="C76" s="280"/>
      <c r="D76" s="44">
        <f>F51+F62+F74</f>
        <v>0</v>
      </c>
      <c r="E76" s="71" t="s">
        <v>329</v>
      </c>
      <c r="F76" s="44"/>
      <c r="G76" s="223"/>
      <c r="H76" s="385"/>
      <c r="I76" s="385"/>
      <c r="J76" s="385"/>
      <c r="K76" s="385"/>
      <c r="L76" s="385"/>
      <c r="M76" s="223"/>
      <c r="N76" s="223"/>
      <c r="Q76" s="22"/>
      <c r="R76" s="22"/>
      <c r="S76" s="22"/>
    </row>
    <row r="77" spans="1:19" ht="12.75">
      <c r="A77" s="386"/>
      <c r="B77" s="223"/>
      <c r="C77" s="223"/>
      <c r="D77" s="223"/>
      <c r="E77" s="223"/>
      <c r="F77" s="223"/>
      <c r="G77" s="228"/>
      <c r="H77" s="228"/>
      <c r="I77" s="228"/>
      <c r="J77" s="228"/>
      <c r="K77" s="228"/>
      <c r="L77" s="228"/>
      <c r="M77" s="228"/>
      <c r="N77" s="223"/>
      <c r="Q77" s="22"/>
      <c r="R77" s="22"/>
      <c r="S77" s="22"/>
    </row>
    <row r="78" spans="1:19" ht="12.75">
      <c r="A78" s="386" t="s">
        <v>323</v>
      </c>
      <c r="B78" s="32" t="s">
        <v>327</v>
      </c>
      <c r="C78" s="5"/>
      <c r="D78" s="5"/>
      <c r="E78" s="5"/>
      <c r="F78" s="5"/>
      <c r="G78" s="228"/>
      <c r="H78" s="228"/>
      <c r="I78" s="228"/>
      <c r="J78" s="228"/>
      <c r="K78" s="228"/>
      <c r="L78" s="228"/>
      <c r="M78" s="228"/>
      <c r="N78" s="223"/>
      <c r="Q78" s="22"/>
      <c r="R78" s="22"/>
      <c r="S78" s="22"/>
    </row>
    <row r="79" spans="1:19" ht="12.75">
      <c r="A79" s="388"/>
      <c r="B79" s="42" t="s">
        <v>346</v>
      </c>
      <c r="C79" s="42"/>
      <c r="D79" s="42"/>
      <c r="E79" s="5"/>
      <c r="F79" s="279">
        <f>IF(E20&lt;F31,0,IF(E20&gt;E40,0,F17))</f>
        <v>0</v>
      </c>
      <c r="G79" s="223"/>
      <c r="H79" s="228"/>
      <c r="I79" s="228"/>
      <c r="J79" s="228"/>
      <c r="K79" s="228"/>
      <c r="L79" s="228"/>
      <c r="M79" s="228"/>
      <c r="N79" s="223"/>
      <c r="Q79" s="22"/>
      <c r="R79" s="22"/>
      <c r="S79" s="22"/>
    </row>
    <row r="80" spans="1:19" ht="13.5" thickBot="1">
      <c r="A80" s="388"/>
      <c r="B80" s="42" t="s">
        <v>347</v>
      </c>
      <c r="C80" s="42"/>
      <c r="D80" s="42"/>
      <c r="E80" s="5"/>
      <c r="F80" s="279">
        <f>D76</f>
        <v>0</v>
      </c>
      <c r="G80" s="223"/>
      <c r="H80" s="223"/>
      <c r="I80" s="223"/>
      <c r="J80" s="223"/>
      <c r="K80" s="223"/>
      <c r="L80" s="223"/>
      <c r="M80" s="223"/>
      <c r="N80" s="223"/>
      <c r="Q80" s="22"/>
      <c r="R80" s="22"/>
      <c r="S80" s="22"/>
    </row>
    <row r="81" spans="1:19" ht="17.25" thickBot="1" thickTop="1">
      <c r="A81" s="386"/>
      <c r="B81" s="282" t="s">
        <v>348</v>
      </c>
      <c r="C81" s="283"/>
      <c r="D81" s="283"/>
      <c r="E81" s="283"/>
      <c r="F81" s="284">
        <f>IF(F79-F80&gt;0,F79-F80,0)</f>
        <v>0</v>
      </c>
      <c r="G81" s="223"/>
      <c r="H81" s="223"/>
      <c r="I81" s="223"/>
      <c r="J81" s="223"/>
      <c r="K81" s="223"/>
      <c r="L81" s="223"/>
      <c r="M81" s="223"/>
      <c r="N81" s="223"/>
      <c r="Q81" s="22"/>
      <c r="R81" s="22"/>
      <c r="S81" s="22"/>
    </row>
    <row r="82" spans="1:19" ht="13.5" thickTop="1">
      <c r="A82" s="386"/>
      <c r="B82" s="228"/>
      <c r="C82" s="228"/>
      <c r="D82" s="228"/>
      <c r="E82" s="228"/>
      <c r="F82" s="228"/>
      <c r="G82" s="223"/>
      <c r="H82" s="223"/>
      <c r="I82" s="223"/>
      <c r="J82" s="223"/>
      <c r="K82" s="223"/>
      <c r="L82" s="223"/>
      <c r="M82" s="223"/>
      <c r="N82" s="223"/>
      <c r="Q82" s="22"/>
      <c r="R82" s="22"/>
      <c r="S82" s="22"/>
    </row>
    <row r="83" spans="1:19" ht="12.75">
      <c r="A83" s="333"/>
      <c r="B83" s="311" t="s">
        <v>335</v>
      </c>
      <c r="C83" s="389"/>
      <c r="D83" s="389"/>
      <c r="E83" s="389"/>
      <c r="F83" s="389"/>
      <c r="G83" s="389"/>
      <c r="H83" s="389"/>
      <c r="I83" s="389"/>
      <c r="J83" s="389"/>
      <c r="K83" s="223"/>
      <c r="L83" s="223"/>
      <c r="M83" s="223"/>
      <c r="N83" s="223"/>
      <c r="Q83" s="22"/>
      <c r="R83" s="22"/>
      <c r="S83" s="22"/>
    </row>
    <row r="84" spans="1:19" ht="12.75">
      <c r="A84" s="386"/>
      <c r="B84" s="311" t="s">
        <v>333</v>
      </c>
      <c r="C84" s="223"/>
      <c r="D84" s="223"/>
      <c r="E84" s="223"/>
      <c r="F84" s="223"/>
      <c r="G84" s="223"/>
      <c r="H84" s="223"/>
      <c r="I84" s="223"/>
      <c r="J84" s="223"/>
      <c r="K84" s="223"/>
      <c r="L84" s="223"/>
      <c r="M84" s="223"/>
      <c r="N84" s="223"/>
      <c r="Q84" s="22"/>
      <c r="R84" s="22"/>
      <c r="S84" s="22"/>
    </row>
    <row r="85" spans="1:19" ht="12.75">
      <c r="A85" s="386"/>
      <c r="B85" s="223"/>
      <c r="C85" s="223"/>
      <c r="D85" s="223"/>
      <c r="E85" s="223"/>
      <c r="F85" s="223"/>
      <c r="G85" s="223"/>
      <c r="H85" s="223"/>
      <c r="I85" s="223"/>
      <c r="J85" s="223"/>
      <c r="K85" s="223"/>
      <c r="L85" s="223"/>
      <c r="M85" s="223"/>
      <c r="N85" s="223"/>
      <c r="Q85" s="22"/>
      <c r="R85" s="22"/>
      <c r="S85" s="22"/>
    </row>
    <row r="86" spans="1:19" ht="12.75">
      <c r="A86" s="386"/>
      <c r="B86" s="223"/>
      <c r="C86" s="223"/>
      <c r="D86" s="223"/>
      <c r="E86" s="223"/>
      <c r="F86" s="223"/>
      <c r="G86" s="223"/>
      <c r="H86" s="223"/>
      <c r="I86" s="228"/>
      <c r="J86" s="228"/>
      <c r="K86" s="223"/>
      <c r="L86" s="223"/>
      <c r="M86" s="223"/>
      <c r="N86" s="223"/>
      <c r="Q86" s="22"/>
      <c r="R86" s="22"/>
      <c r="S86" s="22"/>
    </row>
    <row r="87" spans="1:19" ht="12.75">
      <c r="A87" s="386"/>
      <c r="B87" s="223"/>
      <c r="C87" s="223"/>
      <c r="D87" s="223"/>
      <c r="E87" s="311" t="s">
        <v>176</v>
      </c>
      <c r="F87" s="223"/>
      <c r="G87" s="223"/>
      <c r="H87" s="223"/>
      <c r="I87" s="223"/>
      <c r="J87" s="228"/>
      <c r="K87" s="223"/>
      <c r="L87" s="223"/>
      <c r="M87" s="223"/>
      <c r="N87" s="223"/>
      <c r="Q87" s="22"/>
      <c r="R87" s="22"/>
      <c r="S87" s="22"/>
    </row>
    <row r="88" spans="1:19" ht="12.75">
      <c r="A88" s="386"/>
      <c r="B88" s="223"/>
      <c r="C88" s="223"/>
      <c r="D88" s="223"/>
      <c r="E88" s="223"/>
      <c r="F88" s="223"/>
      <c r="G88" s="223"/>
      <c r="H88" s="223"/>
      <c r="I88" s="223"/>
      <c r="J88" s="223"/>
      <c r="K88" s="223"/>
      <c r="L88" s="223"/>
      <c r="M88" s="223"/>
      <c r="N88" s="223"/>
      <c r="Q88" s="22"/>
      <c r="R88" s="22"/>
      <c r="S88" s="22"/>
    </row>
    <row r="89" spans="1:19" ht="12.75">
      <c r="A89" s="230"/>
      <c r="B89" s="223"/>
      <c r="C89" s="223"/>
      <c r="D89" s="223"/>
      <c r="E89" s="223"/>
      <c r="F89" s="223"/>
      <c r="G89" s="223"/>
      <c r="H89" s="223"/>
      <c r="I89" s="223"/>
      <c r="J89" s="223"/>
      <c r="K89" s="223"/>
      <c r="L89" s="223"/>
      <c r="M89" s="223"/>
      <c r="N89" s="223"/>
      <c r="Q89" s="22"/>
      <c r="R89" s="22"/>
      <c r="S89" s="22"/>
    </row>
    <row r="90" spans="1:19" ht="12.75">
      <c r="A90" s="209"/>
      <c r="B90" s="22"/>
      <c r="C90" s="22"/>
      <c r="D90" s="22"/>
      <c r="E90" s="22"/>
      <c r="F90" s="22"/>
      <c r="G90" s="22"/>
      <c r="Q90" s="22"/>
      <c r="R90" s="22"/>
      <c r="S90" s="22"/>
    </row>
    <row r="91" spans="1:19" ht="12.75">
      <c r="A91" s="209"/>
      <c r="B91" s="22"/>
      <c r="C91" s="22"/>
      <c r="D91" s="22"/>
      <c r="E91" s="22"/>
      <c r="F91" s="22"/>
      <c r="G91" s="22"/>
      <c r="Q91" s="22"/>
      <c r="R91" s="22"/>
      <c r="S91" s="22"/>
    </row>
    <row r="92" spans="1:19" ht="12.75">
      <c r="A92" s="209"/>
      <c r="B92" s="22"/>
      <c r="C92" s="22"/>
      <c r="D92" s="22"/>
      <c r="E92" s="22"/>
      <c r="F92" s="22"/>
      <c r="G92" s="22"/>
      <c r="Q92" s="22"/>
      <c r="R92" s="22"/>
      <c r="S92" s="22"/>
    </row>
    <row r="93" spans="1:19" ht="12.75">
      <c r="A93" s="209"/>
      <c r="B93" s="22"/>
      <c r="C93" s="22"/>
      <c r="D93" s="22"/>
      <c r="E93" s="22"/>
      <c r="F93" s="22"/>
      <c r="G93" s="22"/>
      <c r="Q93" s="22"/>
      <c r="R93" s="22"/>
      <c r="S93" s="22"/>
    </row>
    <row r="94" spans="1:19" ht="12.75">
      <c r="A94" s="209"/>
      <c r="B94" s="22"/>
      <c r="C94" s="22"/>
      <c r="D94" s="22"/>
      <c r="E94" s="22"/>
      <c r="F94" s="22"/>
      <c r="G94" s="22"/>
      <c r="Q94" s="22"/>
      <c r="R94" s="22"/>
      <c r="S94" s="22"/>
    </row>
    <row r="95" spans="1:19" ht="12.75">
      <c r="A95" s="209"/>
      <c r="B95" s="22"/>
      <c r="C95" s="22"/>
      <c r="D95" s="22"/>
      <c r="E95" s="22"/>
      <c r="F95" s="22"/>
      <c r="G95" s="22"/>
      <c r="Q95" s="22"/>
      <c r="R95" s="22"/>
      <c r="S95" s="22"/>
    </row>
    <row r="96" spans="1:19" ht="12.75">
      <c r="A96" s="209"/>
      <c r="B96" s="22"/>
      <c r="C96" s="22"/>
      <c r="D96" s="22"/>
      <c r="E96" s="22"/>
      <c r="F96" s="22"/>
      <c r="G96" s="22"/>
      <c r="Q96" s="22"/>
      <c r="R96" s="22"/>
      <c r="S96" s="22"/>
    </row>
    <row r="97" spans="1:19" ht="12.75">
      <c r="A97" s="209"/>
      <c r="B97" s="22"/>
      <c r="C97" s="22"/>
      <c r="D97" s="22"/>
      <c r="E97" s="22"/>
      <c r="F97" s="22"/>
      <c r="G97" s="22"/>
      <c r="Q97" s="22"/>
      <c r="R97" s="22"/>
      <c r="S97" s="22"/>
    </row>
    <row r="98" spans="1:19" ht="12.75">
      <c r="A98" s="209"/>
      <c r="B98" s="22"/>
      <c r="C98" s="22"/>
      <c r="D98" s="22"/>
      <c r="E98" s="22"/>
      <c r="F98" s="22"/>
      <c r="G98" s="22"/>
      <c r="Q98" s="22"/>
      <c r="R98" s="22"/>
      <c r="S98" s="22"/>
    </row>
    <row r="99" spans="1:19" ht="12.75">
      <c r="A99" s="209"/>
      <c r="B99" s="22"/>
      <c r="C99" s="22"/>
      <c r="D99" s="22"/>
      <c r="E99" s="22"/>
      <c r="F99" s="22"/>
      <c r="G99" s="22"/>
      <c r="Q99" s="22"/>
      <c r="R99" s="22"/>
      <c r="S99" s="22"/>
    </row>
    <row r="100" spans="1:19" ht="12.75">
      <c r="A100" s="209"/>
      <c r="B100" s="22"/>
      <c r="C100" s="22"/>
      <c r="D100" s="22"/>
      <c r="E100" s="22"/>
      <c r="F100" s="22"/>
      <c r="G100" s="22"/>
      <c r="Q100" s="22"/>
      <c r="R100" s="22"/>
      <c r="S100" s="22"/>
    </row>
    <row r="101" spans="1:19" ht="12.75">
      <c r="A101" s="209"/>
      <c r="B101" s="22"/>
      <c r="C101" s="22"/>
      <c r="D101" s="22"/>
      <c r="E101" s="22"/>
      <c r="F101" s="22"/>
      <c r="G101" s="22"/>
      <c r="Q101" s="22"/>
      <c r="R101" s="22"/>
      <c r="S101" s="22"/>
    </row>
    <row r="102" spans="1:19" ht="12.75">
      <c r="A102" s="209"/>
      <c r="B102" s="22"/>
      <c r="C102" s="22"/>
      <c r="D102" s="22"/>
      <c r="E102" s="22"/>
      <c r="F102" s="22"/>
      <c r="G102" s="22"/>
      <c r="Q102" s="22"/>
      <c r="R102" s="22"/>
      <c r="S102" s="22"/>
    </row>
    <row r="103" spans="1:19" ht="12.75">
      <c r="A103" s="209"/>
      <c r="B103" s="22"/>
      <c r="C103" s="22"/>
      <c r="D103" s="22"/>
      <c r="E103" s="22"/>
      <c r="F103" s="22"/>
      <c r="G103" s="22"/>
      <c r="Q103" s="22"/>
      <c r="R103" s="22"/>
      <c r="S103" s="22"/>
    </row>
    <row r="104" spans="1:19" ht="12.75">
      <c r="A104" s="209"/>
      <c r="B104" s="22"/>
      <c r="C104" s="22"/>
      <c r="D104" s="22"/>
      <c r="E104" s="22"/>
      <c r="F104" s="22"/>
      <c r="G104" s="22"/>
      <c r="Q104" s="22"/>
      <c r="R104" s="22"/>
      <c r="S104" s="22"/>
    </row>
    <row r="105" spans="1:19" ht="12.75">
      <c r="A105" s="209"/>
      <c r="B105" s="22"/>
      <c r="C105" s="22"/>
      <c r="D105" s="22"/>
      <c r="E105" s="22"/>
      <c r="F105" s="22"/>
      <c r="G105" s="22"/>
      <c r="Q105" s="22"/>
      <c r="R105" s="22"/>
      <c r="S105" s="22"/>
    </row>
    <row r="106" spans="1:19" ht="12.75">
      <c r="A106" s="209"/>
      <c r="B106" s="22"/>
      <c r="C106" s="22"/>
      <c r="D106" s="22"/>
      <c r="E106" s="22"/>
      <c r="F106" s="22"/>
      <c r="G106" s="22"/>
      <c r="Q106" s="22"/>
      <c r="R106" s="22"/>
      <c r="S106" s="22"/>
    </row>
    <row r="107" spans="1:19" ht="12.75">
      <c r="A107" s="209"/>
      <c r="B107" s="22"/>
      <c r="C107" s="22"/>
      <c r="D107" s="22"/>
      <c r="E107" s="22"/>
      <c r="F107" s="22"/>
      <c r="G107" s="22"/>
      <c r="Q107" s="22"/>
      <c r="R107" s="22"/>
      <c r="S107" s="22"/>
    </row>
    <row r="108" spans="1:19" ht="12.75">
      <c r="A108" s="209"/>
      <c r="B108" s="22"/>
      <c r="C108" s="22"/>
      <c r="D108" s="22"/>
      <c r="E108" s="22"/>
      <c r="F108" s="22"/>
      <c r="G108" s="22"/>
      <c r="Q108" s="22"/>
      <c r="R108" s="22"/>
      <c r="S108" s="22"/>
    </row>
    <row r="109" spans="1:19" ht="12.75">
      <c r="A109" s="209"/>
      <c r="B109" s="22"/>
      <c r="C109" s="22"/>
      <c r="D109" s="22"/>
      <c r="E109" s="22"/>
      <c r="F109" s="22"/>
      <c r="G109" s="22"/>
      <c r="Q109" s="22"/>
      <c r="R109" s="22"/>
      <c r="S109" s="22"/>
    </row>
    <row r="110" spans="1:19" ht="12.75">
      <c r="A110" s="209"/>
      <c r="B110" s="22"/>
      <c r="C110" s="22"/>
      <c r="D110" s="22"/>
      <c r="E110" s="22"/>
      <c r="F110" s="22"/>
      <c r="G110" s="22"/>
      <c r="Q110" s="22"/>
      <c r="R110" s="22"/>
      <c r="S110" s="22"/>
    </row>
    <row r="111" spans="1:19" ht="12.75">
      <c r="A111" s="209"/>
      <c r="B111" s="22"/>
      <c r="C111" s="22"/>
      <c r="D111" s="22"/>
      <c r="E111" s="22"/>
      <c r="F111" s="22"/>
      <c r="G111" s="22"/>
      <c r="Q111" s="22"/>
      <c r="R111" s="22"/>
      <c r="S111" s="22"/>
    </row>
    <row r="112" spans="1:19" ht="12.75">
      <c r="A112" s="209"/>
      <c r="B112" s="22"/>
      <c r="C112" s="22"/>
      <c r="D112" s="22"/>
      <c r="E112" s="22"/>
      <c r="F112" s="22"/>
      <c r="G112" s="22"/>
      <c r="Q112" s="22"/>
      <c r="R112" s="22"/>
      <c r="S112" s="22"/>
    </row>
    <row r="113" spans="1:19" ht="12.75">
      <c r="A113" s="209"/>
      <c r="B113" s="22"/>
      <c r="C113" s="22"/>
      <c r="D113" s="22"/>
      <c r="E113" s="22"/>
      <c r="F113" s="22"/>
      <c r="G113" s="22"/>
      <c r="Q113" s="22"/>
      <c r="R113" s="22"/>
      <c r="S113" s="22"/>
    </row>
    <row r="114" spans="1:19" ht="12.75">
      <c r="A114" s="209"/>
      <c r="B114" s="22"/>
      <c r="C114" s="22"/>
      <c r="D114" s="22"/>
      <c r="E114" s="22"/>
      <c r="F114" s="22"/>
      <c r="G114" s="22"/>
      <c r="Q114" s="22"/>
      <c r="R114" s="22"/>
      <c r="S114" s="22"/>
    </row>
    <row r="115" spans="1:19" ht="12.75">
      <c r="A115" s="209"/>
      <c r="B115" s="22"/>
      <c r="C115" s="22"/>
      <c r="D115" s="22"/>
      <c r="E115" s="22"/>
      <c r="F115" s="22"/>
      <c r="G115" s="22"/>
      <c r="Q115" s="22"/>
      <c r="R115" s="22"/>
      <c r="S115" s="22"/>
    </row>
    <row r="116" spans="1:19" ht="12.75">
      <c r="A116" s="209"/>
      <c r="B116" s="22"/>
      <c r="C116" s="22"/>
      <c r="D116" s="22"/>
      <c r="E116" s="22"/>
      <c r="F116" s="22"/>
      <c r="G116" s="22"/>
      <c r="Q116" s="22"/>
      <c r="R116" s="22"/>
      <c r="S116" s="22"/>
    </row>
    <row r="117" spans="1:19" ht="12.75">
      <c r="A117" s="209"/>
      <c r="B117" s="22"/>
      <c r="C117" s="22"/>
      <c r="D117" s="22"/>
      <c r="E117" s="22"/>
      <c r="F117" s="22"/>
      <c r="G117" s="22"/>
      <c r="Q117" s="22"/>
      <c r="R117" s="22"/>
      <c r="S117" s="22"/>
    </row>
    <row r="118" spans="1:19" ht="12.75">
      <c r="A118" s="209"/>
      <c r="B118" s="22"/>
      <c r="C118" s="22"/>
      <c r="D118" s="22"/>
      <c r="E118" s="22"/>
      <c r="F118" s="22"/>
      <c r="G118" s="22"/>
      <c r="Q118" s="22"/>
      <c r="R118" s="22"/>
      <c r="S118" s="22"/>
    </row>
    <row r="119" spans="1:19" ht="12.75">
      <c r="A119" s="209"/>
      <c r="B119" s="22"/>
      <c r="C119" s="22"/>
      <c r="D119" s="22"/>
      <c r="E119" s="22"/>
      <c r="F119" s="22"/>
      <c r="G119" s="22"/>
      <c r="Q119" s="22"/>
      <c r="R119" s="22"/>
      <c r="S119" s="22"/>
    </row>
    <row r="120" spans="1:19" ht="12.75">
      <c r="A120" s="209"/>
      <c r="B120" s="22"/>
      <c r="C120" s="22"/>
      <c r="D120" s="22"/>
      <c r="E120" s="22"/>
      <c r="F120" s="22"/>
      <c r="G120" s="22"/>
      <c r="Q120" s="22"/>
      <c r="R120" s="22"/>
      <c r="S120" s="22"/>
    </row>
    <row r="121" spans="1:16" s="22" customFormat="1" ht="12.75">
      <c r="A121" s="209"/>
      <c r="O121" s="233"/>
      <c r="P121" s="233"/>
    </row>
    <row r="122" spans="1:16" s="22" customFormat="1" ht="12.75">
      <c r="A122" s="209"/>
      <c r="O122" s="233"/>
      <c r="P122" s="233"/>
    </row>
    <row r="123" spans="1:16" s="22" customFormat="1" ht="12.75">
      <c r="A123" s="209"/>
      <c r="O123" s="233"/>
      <c r="P123" s="233"/>
    </row>
    <row r="124" spans="1:16" s="22" customFormat="1" ht="12.75">
      <c r="A124" s="209"/>
      <c r="O124" s="233"/>
      <c r="P124" s="233"/>
    </row>
    <row r="125" spans="1:16" s="22" customFormat="1" ht="12.75">
      <c r="A125" s="209"/>
      <c r="O125" s="233"/>
      <c r="P125" s="233"/>
    </row>
    <row r="126" spans="1:16" s="22" customFormat="1" ht="12.75">
      <c r="A126" s="209"/>
      <c r="O126" s="233"/>
      <c r="P126" s="233"/>
    </row>
    <row r="127" spans="1:16" s="22" customFormat="1" ht="12.75">
      <c r="A127" s="209"/>
      <c r="O127" s="233"/>
      <c r="P127" s="233"/>
    </row>
    <row r="128" spans="1:16" s="22" customFormat="1" ht="12.75">
      <c r="A128" s="209"/>
      <c r="O128" s="233"/>
      <c r="P128" s="233"/>
    </row>
    <row r="129" spans="1:16" s="22" customFormat="1" ht="12.75">
      <c r="A129" s="209"/>
      <c r="O129" s="233"/>
      <c r="P129" s="233"/>
    </row>
    <row r="130" spans="1:16" s="22" customFormat="1" ht="12.75">
      <c r="A130" s="209"/>
      <c r="O130" s="233"/>
      <c r="P130" s="233"/>
    </row>
    <row r="131" spans="1:16" s="22" customFormat="1" ht="12.75">
      <c r="A131" s="209"/>
      <c r="O131" s="233"/>
      <c r="P131" s="233"/>
    </row>
    <row r="132" spans="1:16" s="22" customFormat="1" ht="12.75">
      <c r="A132" s="209"/>
      <c r="O132" s="233"/>
      <c r="P132" s="233"/>
    </row>
    <row r="133" spans="1:16" s="22" customFormat="1" ht="12.75">
      <c r="A133" s="209"/>
      <c r="O133" s="233"/>
      <c r="P133" s="233"/>
    </row>
    <row r="134" spans="1:16" s="22" customFormat="1" ht="12.75">
      <c r="A134" s="209"/>
      <c r="O134" s="233"/>
      <c r="P134" s="233"/>
    </row>
    <row r="135" spans="1:16" s="22" customFormat="1" ht="12.75">
      <c r="A135" s="209"/>
      <c r="O135" s="233"/>
      <c r="P135" s="233"/>
    </row>
    <row r="136" spans="1:16" s="22" customFormat="1" ht="12.75">
      <c r="A136" s="209"/>
      <c r="O136" s="233"/>
      <c r="P136" s="233"/>
    </row>
    <row r="137" spans="1:16" s="22" customFormat="1" ht="12.75">
      <c r="A137" s="209"/>
      <c r="O137" s="233"/>
      <c r="P137" s="233"/>
    </row>
    <row r="138" spans="1:16" s="22" customFormat="1" ht="12.75">
      <c r="A138" s="209"/>
      <c r="O138" s="233"/>
      <c r="P138" s="233"/>
    </row>
    <row r="139" spans="1:16" s="22" customFormat="1" ht="12.75">
      <c r="A139" s="209"/>
      <c r="O139" s="233"/>
      <c r="P139" s="233"/>
    </row>
    <row r="140" spans="1:16" s="22" customFormat="1" ht="12.75">
      <c r="A140" s="209"/>
      <c r="O140" s="233"/>
      <c r="P140" s="233"/>
    </row>
    <row r="141" spans="1:16" s="22" customFormat="1" ht="12.75">
      <c r="A141" s="209"/>
      <c r="O141" s="233"/>
      <c r="P141" s="233"/>
    </row>
    <row r="142" spans="1:16" s="22" customFormat="1" ht="12.75">
      <c r="A142" s="209"/>
      <c r="O142" s="233"/>
      <c r="P142" s="233"/>
    </row>
    <row r="143" spans="1:16" s="22" customFormat="1" ht="12.75">
      <c r="A143" s="209"/>
      <c r="O143" s="233"/>
      <c r="P143" s="233"/>
    </row>
    <row r="144" spans="1:16" s="22" customFormat="1" ht="12.75">
      <c r="A144" s="209"/>
      <c r="O144" s="233"/>
      <c r="P144" s="233"/>
    </row>
    <row r="145" spans="1:16" s="22" customFormat="1" ht="12.75">
      <c r="A145" s="209"/>
      <c r="O145" s="233"/>
      <c r="P145" s="233"/>
    </row>
    <row r="146" spans="1:16" s="22" customFormat="1" ht="12.75">
      <c r="A146" s="209"/>
      <c r="O146" s="233"/>
      <c r="P146" s="233"/>
    </row>
    <row r="147" spans="1:16" s="22" customFormat="1" ht="12.75">
      <c r="A147" s="209"/>
      <c r="O147" s="233"/>
      <c r="P147" s="233"/>
    </row>
    <row r="148" spans="1:16" s="22" customFormat="1" ht="12.75">
      <c r="A148" s="209"/>
      <c r="O148" s="233"/>
      <c r="P148" s="233"/>
    </row>
    <row r="149" spans="1:16" s="22" customFormat="1" ht="12.75">
      <c r="A149" s="209"/>
      <c r="O149" s="233"/>
      <c r="P149" s="233"/>
    </row>
    <row r="150" spans="1:16" s="22" customFormat="1" ht="12.75">
      <c r="A150" s="209"/>
      <c r="O150" s="233"/>
      <c r="P150" s="233"/>
    </row>
    <row r="151" spans="1:16" s="22" customFormat="1" ht="12.75">
      <c r="A151" s="209"/>
      <c r="O151" s="233"/>
      <c r="P151" s="233"/>
    </row>
    <row r="152" spans="1:16" s="22" customFormat="1" ht="12.75">
      <c r="A152" s="209"/>
      <c r="O152" s="233"/>
      <c r="P152" s="233"/>
    </row>
    <row r="153" spans="1:16" s="22" customFormat="1" ht="12.75">
      <c r="A153" s="209"/>
      <c r="O153" s="233"/>
      <c r="P153" s="233"/>
    </row>
    <row r="154" spans="1:16" s="22" customFormat="1" ht="12.75">
      <c r="A154" s="209"/>
      <c r="O154" s="233"/>
      <c r="P154" s="233"/>
    </row>
    <row r="155" ht="12.75"/>
    <row r="156" ht="12.75"/>
    <row r="157" ht="12.75"/>
    <row r="158" spans="1:16" s="50" customFormat="1" ht="12.75">
      <c r="A158" s="253"/>
      <c r="O158" s="233"/>
      <c r="P158" s="233"/>
    </row>
    <row r="159" spans="1:16" s="50" customFormat="1" ht="12.75">
      <c r="A159" s="253"/>
      <c r="O159" s="233"/>
      <c r="P159" s="233"/>
    </row>
    <row r="160" spans="1:16" s="50" customFormat="1" ht="12.75">
      <c r="A160" s="253"/>
      <c r="O160" s="233"/>
      <c r="P160" s="233"/>
    </row>
    <row r="161" spans="1:16" s="50" customFormat="1" ht="12.75">
      <c r="A161" s="253"/>
      <c r="O161" s="233"/>
      <c r="P161" s="233"/>
    </row>
    <row r="162" spans="1:16" s="50" customFormat="1" ht="12.75">
      <c r="A162" s="253"/>
      <c r="O162" s="233"/>
      <c r="P162" s="233"/>
    </row>
    <row r="163" spans="1:16" s="50" customFormat="1" ht="12.75">
      <c r="A163" s="253"/>
      <c r="O163" s="233"/>
      <c r="P163" s="233"/>
    </row>
  </sheetData>
  <sheetProtection password="C724" sheet="1" objects="1" scenarios="1"/>
  <conditionalFormatting sqref="C32">
    <cfRule type="cellIs" priority="1" dxfId="1" operator="equal" stopIfTrue="1">
      <formula>"der untere Grenzbetrag wird nicht erreicht!"</formula>
    </cfRule>
    <cfRule type="cellIs" priority="2" dxfId="2" operator="notEqual" stopIfTrue="1">
      <formula>"der untere Grenzbetrag wird nicht erreicht!"</formula>
    </cfRule>
  </conditionalFormatting>
  <conditionalFormatting sqref="C41">
    <cfRule type="cellIs" priority="3" dxfId="1" operator="equal" stopIfTrue="1">
      <formula>"der obere Grenzbetrag wird überschritten!"</formula>
    </cfRule>
    <cfRule type="cellIs" priority="4" dxfId="2" operator="notEqual" stopIfTrue="1">
      <formula>"der obere Grenzbetrag wird überschritten!"</formula>
    </cfRule>
  </conditionalFormatting>
  <printOptions/>
  <pageMargins left="0.3937007874015748" right="0.3937007874015748" top="0.984251968503937" bottom="0.984251968503937" header="0.3937007874015748" footer="0"/>
  <pageSetup blackAndWhite="1" fitToHeight="1" fitToWidth="1" horizontalDpi="600" verticalDpi="600" orientation="landscape" paperSize="9" scale="45" r:id="rId4"/>
  <headerFooter alignWithMargins="0">
    <oddHeader>&amp;L&amp;"Arial,Fett"&amp;8NUTZUNG OHNE GEWÄHR&amp;C&amp;"Arial,Fett"&amp;8&amp;F&amp;R&amp;"Arial,Fett"&amp;8http://www.ArbeitslosengeldII.de</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Tabelle6"/>
  <dimension ref="A1:IU105"/>
  <sheetViews>
    <sheetView showGridLines="0" showRowColHeaders="0" workbookViewId="0" topLeftCell="A25">
      <selection activeCell="A1" sqref="A1"/>
    </sheetView>
  </sheetViews>
  <sheetFormatPr defaultColWidth="11.421875" defaultRowHeight="12.75" zeroHeight="1"/>
  <cols>
    <col min="1" max="1" width="2.57421875" style="50" customWidth="1"/>
    <col min="2" max="2" width="14.57421875" style="50" customWidth="1"/>
    <col min="3" max="3" width="9.00390625" style="50" customWidth="1"/>
    <col min="4" max="5" width="11.28125" style="50" customWidth="1"/>
    <col min="6" max="6" width="11.57421875" style="50" customWidth="1"/>
    <col min="7" max="12" width="11.28125" style="50" customWidth="1"/>
    <col min="13" max="13" width="10.7109375" style="50" customWidth="1"/>
    <col min="14" max="14" width="2.7109375" style="50" customWidth="1"/>
    <col min="15" max="16384" width="0" style="50" hidden="1" customWidth="1"/>
  </cols>
  <sheetData>
    <row r="1" spans="1:255" ht="15.75">
      <c r="A1" s="223"/>
      <c r="B1" s="365" t="s">
        <v>78</v>
      </c>
      <c r="C1" s="365"/>
      <c r="D1" s="365"/>
      <c r="E1" s="365"/>
      <c r="F1" s="365"/>
      <c r="G1" s="365"/>
      <c r="H1" s="365"/>
      <c r="I1" s="365"/>
      <c r="J1" s="365"/>
      <c r="K1" s="365"/>
      <c r="L1" s="365"/>
      <c r="M1" s="365"/>
      <c r="N1" s="223"/>
      <c r="IU1" s="5"/>
    </row>
    <row r="2" spans="1:255" s="203" customFormat="1" ht="11.25" hidden="1">
      <c r="A2" s="176"/>
      <c r="B2" s="395"/>
      <c r="C2" s="396" t="s">
        <v>85</v>
      </c>
      <c r="D2" s="396" t="b">
        <v>0</v>
      </c>
      <c r="E2" s="396" t="b">
        <v>0</v>
      </c>
      <c r="F2" s="396" t="b">
        <v>0</v>
      </c>
      <c r="G2" s="176" t="b">
        <v>0</v>
      </c>
      <c r="H2" s="176" t="b">
        <v>0</v>
      </c>
      <c r="I2" s="176" t="b">
        <v>0</v>
      </c>
      <c r="J2" s="176" t="b">
        <v>0</v>
      </c>
      <c r="K2" s="176" t="b">
        <v>0</v>
      </c>
      <c r="L2" s="176" t="b">
        <v>0</v>
      </c>
      <c r="M2" s="176"/>
      <c r="N2" s="176"/>
      <c r="IU2" s="231"/>
    </row>
    <row r="3" spans="1:255" s="203" customFormat="1" ht="11.25" hidden="1">
      <c r="A3" s="176"/>
      <c r="B3" s="395"/>
      <c r="C3" s="396" t="s">
        <v>86</v>
      </c>
      <c r="D3" s="396" t="b">
        <v>0</v>
      </c>
      <c r="E3" s="396" t="b">
        <v>0</v>
      </c>
      <c r="F3" s="396" t="b">
        <v>0</v>
      </c>
      <c r="G3" s="176" t="b">
        <v>0</v>
      </c>
      <c r="H3" s="176" t="b">
        <v>0</v>
      </c>
      <c r="I3" s="176" t="b">
        <v>0</v>
      </c>
      <c r="J3" s="176" t="b">
        <v>0</v>
      </c>
      <c r="K3" s="176" t="b">
        <v>0</v>
      </c>
      <c r="L3" s="176" t="b">
        <v>0</v>
      </c>
      <c r="M3" s="176"/>
      <c r="N3" s="176"/>
      <c r="IU3" s="231"/>
    </row>
    <row r="4" spans="1:255" ht="12.75">
      <c r="A4" s="223"/>
      <c r="B4" s="376"/>
      <c r="C4" s="367"/>
      <c r="D4" s="367"/>
      <c r="E4" s="367"/>
      <c r="F4" s="367"/>
      <c r="G4" s="223"/>
      <c r="H4" s="223"/>
      <c r="I4" s="223"/>
      <c r="J4" s="223"/>
      <c r="K4" s="223"/>
      <c r="L4" s="223"/>
      <c r="M4" s="223"/>
      <c r="N4" s="223"/>
      <c r="IU4" s="5"/>
    </row>
    <row r="5" spans="1:255" ht="12.75">
      <c r="A5" s="223"/>
      <c r="B5" s="223"/>
      <c r="C5" s="377"/>
      <c r="D5" s="397" t="s">
        <v>0</v>
      </c>
      <c r="E5" s="397" t="s">
        <v>259</v>
      </c>
      <c r="F5" s="397" t="s">
        <v>402</v>
      </c>
      <c r="G5" s="397" t="s">
        <v>402</v>
      </c>
      <c r="H5" s="398" t="s">
        <v>241</v>
      </c>
      <c r="I5" s="398" t="s">
        <v>241</v>
      </c>
      <c r="J5" s="398" t="s">
        <v>241</v>
      </c>
      <c r="K5" s="398" t="s">
        <v>241</v>
      </c>
      <c r="L5" s="398" t="s">
        <v>241</v>
      </c>
      <c r="M5" s="223"/>
      <c r="N5" s="223"/>
      <c r="IU5" s="5"/>
    </row>
    <row r="6" spans="1:255" ht="12.75">
      <c r="A6" s="223"/>
      <c r="B6" s="223"/>
      <c r="C6" s="345" t="s">
        <v>5</v>
      </c>
      <c r="D6" s="436">
        <f>IF(Daten!C13="","",Daten!C13)</f>
      </c>
      <c r="E6" s="436">
        <f>IF(Daten!D13="","",Daten!D13)</f>
      </c>
      <c r="F6" s="436">
        <f>IF(Daten!E13="","",Daten!E13)</f>
      </c>
      <c r="G6" s="436">
        <f>IF(Daten!F13="","",Daten!F13)</f>
      </c>
      <c r="H6" s="436">
        <f>IF(Daten!G13="","",Daten!G13)</f>
      </c>
      <c r="I6" s="436">
        <f>IF(Daten!H13="","",Daten!H13)</f>
      </c>
      <c r="J6" s="436">
        <f>IF(Daten!I13="","",Daten!I13)</f>
      </c>
      <c r="K6" s="436">
        <f>IF(Daten!J13="","",Daten!J13)</f>
      </c>
      <c r="L6" s="436">
        <f>IF(Daten!K13="","",Daten!K13)</f>
      </c>
      <c r="M6" s="223"/>
      <c r="N6" s="223"/>
      <c r="IU6" s="5"/>
    </row>
    <row r="7" spans="1:255" ht="12.75">
      <c r="A7" s="223"/>
      <c r="B7" s="223"/>
      <c r="C7" s="345" t="s">
        <v>132</v>
      </c>
      <c r="D7" s="24" t="s">
        <v>39</v>
      </c>
      <c r="E7" s="24" t="s">
        <v>407</v>
      </c>
      <c r="F7" s="24" t="s">
        <v>407</v>
      </c>
      <c r="G7" s="24" t="s">
        <v>407</v>
      </c>
      <c r="H7" s="24" t="s">
        <v>41</v>
      </c>
      <c r="I7" s="24" t="s">
        <v>41</v>
      </c>
      <c r="J7" s="24" t="s">
        <v>41</v>
      </c>
      <c r="K7" s="24" t="s">
        <v>41</v>
      </c>
      <c r="L7" s="24" t="s">
        <v>41</v>
      </c>
      <c r="M7" s="223"/>
      <c r="N7" s="223"/>
      <c r="IU7" s="5"/>
    </row>
    <row r="8" spans="1:255" ht="12.75">
      <c r="A8" s="333" t="s">
        <v>79</v>
      </c>
      <c r="B8" s="387"/>
      <c r="C8" s="223"/>
      <c r="D8" s="223"/>
      <c r="E8" s="223"/>
      <c r="F8" s="223"/>
      <c r="G8" s="223"/>
      <c r="H8" s="223"/>
      <c r="I8" s="223"/>
      <c r="J8" s="223"/>
      <c r="K8" s="223"/>
      <c r="L8" s="223"/>
      <c r="M8" s="399" t="s">
        <v>23</v>
      </c>
      <c r="N8" s="223"/>
      <c r="IU8" s="5"/>
    </row>
    <row r="9" spans="1:255" ht="12.75">
      <c r="A9" s="223"/>
      <c r="B9" s="26" t="s">
        <v>81</v>
      </c>
      <c r="C9" s="26"/>
      <c r="D9" s="27">
        <f>'ALG II'!E10</f>
        <v>0</v>
      </c>
      <c r="E9" s="27">
        <f>'ALG II'!E12</f>
        <v>0</v>
      </c>
      <c r="F9" s="27">
        <f>'ALG II'!E14</f>
        <v>0</v>
      </c>
      <c r="G9" s="27">
        <f>'ALG II'!E15</f>
        <v>0</v>
      </c>
      <c r="H9" s="27">
        <f>Sozialgeld!F8</f>
        <v>0</v>
      </c>
      <c r="I9" s="27">
        <f>Sozialgeld!H8</f>
        <v>0</v>
      </c>
      <c r="J9" s="27">
        <f>Sozialgeld!J8</f>
        <v>0</v>
      </c>
      <c r="K9" s="27">
        <f>Sozialgeld!L8</f>
        <v>0</v>
      </c>
      <c r="L9" s="27">
        <f>Sozialgeld!N8</f>
        <v>0</v>
      </c>
      <c r="M9" s="427">
        <f>SUM(D9:L9)</f>
        <v>0</v>
      </c>
      <c r="N9" s="223"/>
      <c r="IU9" s="275"/>
    </row>
    <row r="10" spans="1:255" ht="12.75">
      <c r="A10" s="223"/>
      <c r="B10" s="26" t="s">
        <v>82</v>
      </c>
      <c r="C10" s="26"/>
      <c r="D10" s="27">
        <f>'ALG II'!G41</f>
        <v>0</v>
      </c>
      <c r="E10" s="27">
        <f>'ALG II'!I41</f>
        <v>0</v>
      </c>
      <c r="F10" s="27">
        <f>'ALG II'!K41</f>
        <v>0</v>
      </c>
      <c r="G10" s="27">
        <f>'ALG II'!M41</f>
        <v>0</v>
      </c>
      <c r="H10" s="27">
        <f>Sozialgeld!F11+Sozialgeld!F15+Sozialgeld!F17</f>
        <v>0</v>
      </c>
      <c r="I10" s="27">
        <f>Sozialgeld!H11+Sozialgeld!H15+Sozialgeld!H17</f>
        <v>0</v>
      </c>
      <c r="J10" s="27">
        <f>Sozialgeld!J11+Sozialgeld!J15+Sozialgeld!J17</f>
        <v>0</v>
      </c>
      <c r="K10" s="27">
        <f>Sozialgeld!L11+Sozialgeld!L15+Sozialgeld!L17</f>
        <v>0</v>
      </c>
      <c r="L10" s="27">
        <f>Sozialgeld!N11+Sozialgeld!N15+Sozialgeld!N17</f>
        <v>0</v>
      </c>
      <c r="M10" s="427">
        <f>SUM(D10:L10)</f>
        <v>0</v>
      </c>
      <c r="N10" s="223"/>
      <c r="IU10" s="275"/>
    </row>
    <row r="11" spans="1:255" ht="12.75">
      <c r="A11" s="223"/>
      <c r="B11" s="26" t="s">
        <v>143</v>
      </c>
      <c r="C11" s="26"/>
      <c r="D11" s="27">
        <f>IF(D6="",0,'ALG II'!M67)</f>
        <v>0</v>
      </c>
      <c r="E11" s="27">
        <f>IF(E6="",0,'ALG II'!M67)</f>
        <v>0</v>
      </c>
      <c r="F11" s="27">
        <f>IF(F6="",0,'ALG II'!M67)</f>
        <v>0</v>
      </c>
      <c r="G11" s="27">
        <f>IF(G6="",0,'ALG II'!M67)</f>
        <v>0</v>
      </c>
      <c r="H11" s="27">
        <f>IF(H6="",0,'ALG II'!M67)</f>
        <v>0</v>
      </c>
      <c r="I11" s="27">
        <f>IF(I6="",0,'ALG II'!M67)</f>
        <v>0</v>
      </c>
      <c r="J11" s="27">
        <f>IF(J6="",0,'ALG II'!M67)</f>
        <v>0</v>
      </c>
      <c r="K11" s="27">
        <f>IF(K6="",0,'ALG II'!M67)</f>
        <v>0</v>
      </c>
      <c r="L11" s="27">
        <f>IF(L6="",0,'ALG II'!M67)</f>
        <v>0</v>
      </c>
      <c r="M11" s="427">
        <f>SUM(D11:L11)</f>
        <v>0</v>
      </c>
      <c r="N11" s="223"/>
      <c r="IU11" s="275"/>
    </row>
    <row r="12" spans="1:255" ht="12.75">
      <c r="A12" s="223"/>
      <c r="B12" s="26" t="s">
        <v>80</v>
      </c>
      <c r="C12" s="26"/>
      <c r="D12" s="27">
        <f>'ALG II'!E102</f>
        <v>0</v>
      </c>
      <c r="E12" s="411"/>
      <c r="F12" s="412"/>
      <c r="G12" s="412"/>
      <c r="H12" s="412"/>
      <c r="I12" s="412"/>
      <c r="J12" s="412"/>
      <c r="K12" s="412"/>
      <c r="L12" s="412"/>
      <c r="M12" s="426">
        <f>D12</f>
        <v>0</v>
      </c>
      <c r="N12" s="223"/>
      <c r="IU12" s="275"/>
    </row>
    <row r="13" spans="1:255" ht="12.75">
      <c r="A13" s="223"/>
      <c r="B13" s="223"/>
      <c r="C13" s="345" t="s">
        <v>84</v>
      </c>
      <c r="D13" s="27">
        <f>SUM(D9:D12)</f>
        <v>0</v>
      </c>
      <c r="E13" s="27">
        <f aca="true" t="shared" si="0" ref="E13:L13">SUM(E9:E11)</f>
        <v>0</v>
      </c>
      <c r="F13" s="27">
        <f>SUM(F9:F11)</f>
        <v>0</v>
      </c>
      <c r="G13" s="27">
        <f t="shared" si="0"/>
        <v>0</v>
      </c>
      <c r="H13" s="27">
        <f t="shared" si="0"/>
        <v>0</v>
      </c>
      <c r="I13" s="27">
        <f t="shared" si="0"/>
        <v>0</v>
      </c>
      <c r="J13" s="27">
        <f t="shared" si="0"/>
        <v>0</v>
      </c>
      <c r="K13" s="27">
        <f t="shared" si="0"/>
        <v>0</v>
      </c>
      <c r="L13" s="27">
        <f t="shared" si="0"/>
        <v>0</v>
      </c>
      <c r="M13" s="427">
        <f>SUM(D13:L13)</f>
        <v>0</v>
      </c>
      <c r="N13" s="223"/>
      <c r="IU13" s="275"/>
    </row>
    <row r="14" spans="1:255" ht="12.75">
      <c r="A14" s="223"/>
      <c r="B14" s="223"/>
      <c r="C14" s="223"/>
      <c r="D14" s="223"/>
      <c r="E14" s="223"/>
      <c r="F14" s="223"/>
      <c r="G14" s="223"/>
      <c r="H14" s="223"/>
      <c r="I14" s="223"/>
      <c r="J14" s="223"/>
      <c r="K14" s="223"/>
      <c r="L14" s="223"/>
      <c r="M14" s="228"/>
      <c r="N14" s="223"/>
      <c r="IU14" s="275"/>
    </row>
    <row r="15" spans="1:255" ht="12.75">
      <c r="A15" s="223"/>
      <c r="B15" s="585" t="s">
        <v>142</v>
      </c>
      <c r="C15" s="586"/>
      <c r="D15" s="53"/>
      <c r="E15" s="53"/>
      <c r="F15" s="53"/>
      <c r="G15" s="53"/>
      <c r="H15" s="53"/>
      <c r="I15" s="53"/>
      <c r="J15" s="53"/>
      <c r="K15" s="53"/>
      <c r="L15" s="53"/>
      <c r="M15" s="497"/>
      <c r="N15" s="223"/>
      <c r="IU15" s="275"/>
    </row>
    <row r="16" spans="1:255" ht="12.75">
      <c r="A16" s="223"/>
      <c r="B16" s="583" t="s">
        <v>133</v>
      </c>
      <c r="C16" s="584"/>
      <c r="D16" s="30">
        <f aca="true" t="shared" si="1" ref="D16:J16">D9*D15*-1</f>
        <v>0</v>
      </c>
      <c r="E16" s="30">
        <f t="shared" si="1"/>
        <v>0</v>
      </c>
      <c r="F16" s="30">
        <f t="shared" si="1"/>
        <v>0</v>
      </c>
      <c r="G16" s="30">
        <f t="shared" si="1"/>
        <v>0</v>
      </c>
      <c r="H16" s="30">
        <f t="shared" si="1"/>
        <v>0</v>
      </c>
      <c r="I16" s="30">
        <f t="shared" si="1"/>
        <v>0</v>
      </c>
      <c r="J16" s="30">
        <f t="shared" si="1"/>
        <v>0</v>
      </c>
      <c r="K16" s="30">
        <f>IF(K6="",0,K9*K15*-1)</f>
        <v>0</v>
      </c>
      <c r="L16" s="30">
        <f>L9*L15*-1</f>
        <v>0</v>
      </c>
      <c r="M16" s="428">
        <f aca="true" t="shared" si="2" ref="M16:M28">SUM(D16:L16)</f>
        <v>0</v>
      </c>
      <c r="N16" s="223"/>
      <c r="IU16" s="275"/>
    </row>
    <row r="17" spans="1:255" ht="12.75">
      <c r="A17" s="223"/>
      <c r="B17" s="583" t="s">
        <v>141</v>
      </c>
      <c r="C17" s="584"/>
      <c r="D17" s="30">
        <f aca="true" t="shared" si="3" ref="D17:J17">IF(D2,D10*D15*-1,0)</f>
        <v>0</v>
      </c>
      <c r="E17" s="30">
        <f t="shared" si="3"/>
        <v>0</v>
      </c>
      <c r="F17" s="30">
        <f t="shared" si="3"/>
        <v>0</v>
      </c>
      <c r="G17" s="30">
        <f t="shared" si="3"/>
        <v>0</v>
      </c>
      <c r="H17" s="30">
        <f t="shared" si="3"/>
        <v>0</v>
      </c>
      <c r="I17" s="30">
        <f t="shared" si="3"/>
        <v>0</v>
      </c>
      <c r="J17" s="30">
        <f t="shared" si="3"/>
        <v>0</v>
      </c>
      <c r="K17" s="30">
        <f>IF(K6="",0,IF(K2,K10*K15*-1,0))</f>
        <v>0</v>
      </c>
      <c r="L17" s="30">
        <f>IF(L2,L10*L15*-1,0)</f>
        <v>0</v>
      </c>
      <c r="M17" s="428">
        <f t="shared" si="2"/>
        <v>0</v>
      </c>
      <c r="N17" s="223"/>
      <c r="IU17" s="275"/>
    </row>
    <row r="18" spans="1:255" ht="12.75">
      <c r="A18" s="223"/>
      <c r="B18" s="583" t="s">
        <v>144</v>
      </c>
      <c r="C18" s="584"/>
      <c r="D18" s="30">
        <f aca="true" t="shared" si="4" ref="D18:J18">IF(D3,D11*D15*-1,0)</f>
        <v>0</v>
      </c>
      <c r="E18" s="30">
        <f t="shared" si="4"/>
        <v>0</v>
      </c>
      <c r="F18" s="30">
        <f t="shared" si="4"/>
        <v>0</v>
      </c>
      <c r="G18" s="30">
        <f t="shared" si="4"/>
        <v>0</v>
      </c>
      <c r="H18" s="30">
        <f t="shared" si="4"/>
        <v>0</v>
      </c>
      <c r="I18" s="30">
        <f t="shared" si="4"/>
        <v>0</v>
      </c>
      <c r="J18" s="30">
        <f t="shared" si="4"/>
        <v>0</v>
      </c>
      <c r="K18" s="30">
        <f>IF(K6="",0,IF(K3,K11*K15*-1,0))</f>
        <v>0</v>
      </c>
      <c r="L18" s="30">
        <f>IF(L3,L11*L15*-1,0)</f>
        <v>0</v>
      </c>
      <c r="M18" s="428">
        <f t="shared" si="2"/>
        <v>0</v>
      </c>
      <c r="N18" s="223"/>
      <c r="IU18" s="275"/>
    </row>
    <row r="19" spans="1:255" ht="12.75">
      <c r="A19" s="223"/>
      <c r="B19" s="583" t="s">
        <v>83</v>
      </c>
      <c r="C19" s="584"/>
      <c r="D19" s="30">
        <f>IF(D15&gt;0,D12*-1,0)</f>
        <v>0</v>
      </c>
      <c r="E19" s="433">
        <f>IF(E15&gt;0,E12*-1,0)</f>
        <v>0</v>
      </c>
      <c r="F19" s="434">
        <f>IF(F15&gt;0,F12*-1,0)</f>
        <v>0</v>
      </c>
      <c r="G19" s="434">
        <f>IF(G15&gt;0,G12*-1,0)</f>
        <v>0</v>
      </c>
      <c r="H19" s="434"/>
      <c r="I19" s="434"/>
      <c r="J19" s="434"/>
      <c r="K19" s="434"/>
      <c r="L19" s="434"/>
      <c r="M19" s="435">
        <f t="shared" si="2"/>
        <v>0</v>
      </c>
      <c r="N19" s="223"/>
      <c r="IU19" s="275"/>
    </row>
    <row r="20" spans="1:255" ht="12.75">
      <c r="A20" s="223"/>
      <c r="B20" s="223"/>
      <c r="C20" s="345" t="s">
        <v>87</v>
      </c>
      <c r="D20" s="30">
        <f aca="true" t="shared" si="5" ref="D20:L20">SUM(D16:D19)</f>
        <v>0</v>
      </c>
      <c r="E20" s="30">
        <f t="shared" si="5"/>
        <v>0</v>
      </c>
      <c r="F20" s="30">
        <f t="shared" si="5"/>
        <v>0</v>
      </c>
      <c r="G20" s="30">
        <f t="shared" si="5"/>
        <v>0</v>
      </c>
      <c r="H20" s="30">
        <f t="shared" si="5"/>
        <v>0</v>
      </c>
      <c r="I20" s="30">
        <f t="shared" si="5"/>
        <v>0</v>
      </c>
      <c r="J20" s="30">
        <f t="shared" si="5"/>
        <v>0</v>
      </c>
      <c r="K20" s="30">
        <f>IF(K6="",0,SUM(K16:K19))</f>
        <v>0</v>
      </c>
      <c r="L20" s="30">
        <f t="shared" si="5"/>
        <v>0</v>
      </c>
      <c r="M20" s="428">
        <f t="shared" si="2"/>
        <v>0</v>
      </c>
      <c r="N20" s="223"/>
      <c r="IU20" s="275"/>
    </row>
    <row r="21" spans="1:255" ht="12.75">
      <c r="A21" s="223"/>
      <c r="B21" s="223"/>
      <c r="C21" s="345" t="s">
        <v>88</v>
      </c>
      <c r="D21" s="27">
        <f aca="true" t="shared" si="6" ref="D21:L21">D13+D20</f>
        <v>0</v>
      </c>
      <c r="E21" s="27">
        <f t="shared" si="6"/>
        <v>0</v>
      </c>
      <c r="F21" s="27">
        <f t="shared" si="6"/>
        <v>0</v>
      </c>
      <c r="G21" s="27">
        <f t="shared" si="6"/>
        <v>0</v>
      </c>
      <c r="H21" s="27">
        <f t="shared" si="6"/>
        <v>0</v>
      </c>
      <c r="I21" s="27">
        <f t="shared" si="6"/>
        <v>0</v>
      </c>
      <c r="J21" s="27">
        <f t="shared" si="6"/>
        <v>0</v>
      </c>
      <c r="K21" s="27">
        <f t="shared" si="6"/>
        <v>0</v>
      </c>
      <c r="L21" s="27">
        <f t="shared" si="6"/>
        <v>0</v>
      </c>
      <c r="M21" s="427">
        <f t="shared" si="2"/>
        <v>0</v>
      </c>
      <c r="N21" s="223"/>
      <c r="IU21" s="275"/>
    </row>
    <row r="22" spans="1:255" ht="12.75">
      <c r="A22" s="223"/>
      <c r="B22" s="31" t="s">
        <v>89</v>
      </c>
      <c r="C22" s="26"/>
      <c r="D22" s="27">
        <f>'ALG II'!G111+'ALG II'!G121+'ALG II'!G131</f>
        <v>0</v>
      </c>
      <c r="E22" s="27">
        <f>'ALG II'!G112+'ALG II'!G122+'ALG II'!G132</f>
        <v>0</v>
      </c>
      <c r="F22" s="27">
        <f>'ALG II'!G113+'ALG II'!G123+'ALG II'!G133</f>
        <v>0</v>
      </c>
      <c r="G22" s="27">
        <f>'ALG II'!G114+'ALG II'!G124+'ALG II'!G134</f>
        <v>0</v>
      </c>
      <c r="H22" s="411"/>
      <c r="I22" s="412"/>
      <c r="J22" s="412"/>
      <c r="K22" s="412"/>
      <c r="L22" s="412"/>
      <c r="M22" s="429">
        <f t="shared" si="2"/>
        <v>0</v>
      </c>
      <c r="N22" s="223"/>
      <c r="IU22" s="275"/>
    </row>
    <row r="23" spans="1:255" ht="12.75">
      <c r="A23" s="223"/>
      <c r="B23" s="223"/>
      <c r="C23" s="345" t="s">
        <v>265</v>
      </c>
      <c r="D23" s="27">
        <f>D21+D22</f>
        <v>0</v>
      </c>
      <c r="E23" s="27">
        <f>E21+E22</f>
        <v>0</v>
      </c>
      <c r="F23" s="27">
        <f>F21+F22</f>
        <v>0</v>
      </c>
      <c r="G23" s="27">
        <f>G21+G22</f>
        <v>0</v>
      </c>
      <c r="H23" s="27">
        <f>H21</f>
        <v>0</v>
      </c>
      <c r="I23" s="27">
        <f>I21</f>
        <v>0</v>
      </c>
      <c r="J23" s="27">
        <f>J21</f>
        <v>0</v>
      </c>
      <c r="K23" s="27">
        <f>K21</f>
        <v>0</v>
      </c>
      <c r="L23" s="27">
        <f>L21</f>
        <v>0</v>
      </c>
      <c r="M23" s="427">
        <f t="shared" si="2"/>
        <v>0</v>
      </c>
      <c r="N23" s="223"/>
      <c r="IU23" s="275"/>
    </row>
    <row r="24" spans="1:255" ht="12.75">
      <c r="A24" s="223"/>
      <c r="B24" s="223"/>
      <c r="C24" s="223"/>
      <c r="D24" s="404"/>
      <c r="E24" s="404"/>
      <c r="F24" s="404"/>
      <c r="G24" s="404"/>
      <c r="H24" s="404"/>
      <c r="I24" s="404"/>
      <c r="J24" s="404"/>
      <c r="K24" s="404"/>
      <c r="L24" s="404"/>
      <c r="M24" s="400"/>
      <c r="N24" s="223"/>
      <c r="IU24" s="275"/>
    </row>
    <row r="25" spans="1:255" ht="12.75">
      <c r="A25" s="333" t="s">
        <v>4</v>
      </c>
      <c r="B25" s="333" t="s">
        <v>442</v>
      </c>
      <c r="C25" s="223"/>
      <c r="D25" s="27">
        <f>IF(D6="",0,Einkommen!C45)</f>
        <v>0</v>
      </c>
      <c r="E25" s="27">
        <f>IF(E6="",0,Einkommen!D45)</f>
        <v>0</v>
      </c>
      <c r="F25" s="27">
        <f>IF(F6="",0,Einkommen!E45)</f>
        <v>0</v>
      </c>
      <c r="G25" s="27">
        <f>IF(G6="",0,Einkommen!F45)</f>
        <v>0</v>
      </c>
      <c r="H25" s="27">
        <f>IF(H6="",0,Einkommen!G41)</f>
        <v>0</v>
      </c>
      <c r="I25" s="27">
        <f>IF(I6="",0,Einkommen!H41)</f>
        <v>0</v>
      </c>
      <c r="J25" s="27">
        <f>IF(J6="",0,Einkommen!I41)</f>
        <v>0</v>
      </c>
      <c r="K25" s="27">
        <f>IF(K6="",0,Einkommen!J41)</f>
        <v>0</v>
      </c>
      <c r="L25" s="27">
        <f>IF(L6="",0,Einkommen!K41)</f>
        <v>0</v>
      </c>
      <c r="M25" s="408">
        <f t="shared" si="2"/>
        <v>0</v>
      </c>
      <c r="N25" s="223"/>
      <c r="IU25" s="275"/>
    </row>
    <row r="26" spans="1:255" ht="12.75">
      <c r="A26" s="333" t="s">
        <v>6</v>
      </c>
      <c r="B26" s="333" t="s">
        <v>443</v>
      </c>
      <c r="C26" s="223"/>
      <c r="D26" s="581">
        <f>IF(D6="",0,Vermögen!C30)</f>
        <v>0</v>
      </c>
      <c r="E26" s="582"/>
      <c r="F26" s="27">
        <f>IF(F6="",0,Vermögen!E30)</f>
        <v>0</v>
      </c>
      <c r="G26" s="27">
        <f>IF(G6="",0,Vermögen!F30)</f>
        <v>0</v>
      </c>
      <c r="H26" s="27">
        <f>IF(H6="",0,Vermögen!G30)</f>
        <v>0</v>
      </c>
      <c r="I26" s="27">
        <f>IF(I6="",0,Vermögen!H30)</f>
        <v>0</v>
      </c>
      <c r="J26" s="27">
        <f>IF(J6="",0,Vermögen!I30)</f>
        <v>0</v>
      </c>
      <c r="K26" s="27">
        <f>IF(K6="",0,Vermögen!J30)</f>
        <v>0</v>
      </c>
      <c r="L26" s="27">
        <f>IF(L6="",0,Vermögen!K30)</f>
        <v>0</v>
      </c>
      <c r="M26" s="408">
        <f>SUM(D26:L26)</f>
        <v>0</v>
      </c>
      <c r="N26" s="223"/>
      <c r="IU26" s="275"/>
    </row>
    <row r="27" spans="1:255" ht="12.75">
      <c r="A27" s="336"/>
      <c r="B27" s="223"/>
      <c r="C27" s="223"/>
      <c r="D27" s="404"/>
      <c r="E27" s="404"/>
      <c r="F27" s="404"/>
      <c r="G27" s="404"/>
      <c r="H27" s="404"/>
      <c r="I27" s="404"/>
      <c r="J27" s="404"/>
      <c r="K27" s="404"/>
      <c r="L27" s="404"/>
      <c r="M27" s="400"/>
      <c r="N27" s="223"/>
      <c r="IU27" s="275"/>
    </row>
    <row r="28" spans="1:255" ht="12.75">
      <c r="A28" s="336"/>
      <c r="B28" s="223"/>
      <c r="C28" s="345" t="s">
        <v>88</v>
      </c>
      <c r="D28" s="27">
        <f>IF(D23-D25-D26&gt;0,D23-D25-D26,0)</f>
        <v>0</v>
      </c>
      <c r="E28" s="27">
        <f aca="true" t="shared" si="7" ref="E28:L28">IF(E23-E25-E26&gt;0,E23-E25-E26,0)</f>
        <v>0</v>
      </c>
      <c r="F28" s="27">
        <f t="shared" si="7"/>
        <v>0</v>
      </c>
      <c r="G28" s="27">
        <f t="shared" si="7"/>
        <v>0</v>
      </c>
      <c r="H28" s="27">
        <f t="shared" si="7"/>
        <v>0</v>
      </c>
      <c r="I28" s="27">
        <f t="shared" si="7"/>
        <v>0</v>
      </c>
      <c r="J28" s="27">
        <f t="shared" si="7"/>
        <v>0</v>
      </c>
      <c r="K28" s="27">
        <f t="shared" si="7"/>
        <v>0</v>
      </c>
      <c r="L28" s="194">
        <f t="shared" si="7"/>
        <v>0</v>
      </c>
      <c r="M28" s="408">
        <f t="shared" si="2"/>
        <v>0</v>
      </c>
      <c r="N28" s="223"/>
      <c r="IU28" s="275"/>
    </row>
    <row r="29" spans="1:255" ht="12.75">
      <c r="A29" s="336"/>
      <c r="B29" s="223"/>
      <c r="C29" s="345" t="s">
        <v>90</v>
      </c>
      <c r="D29" s="33">
        <f>IF(D28=0,0,D28/M28)</f>
        <v>0</v>
      </c>
      <c r="E29" s="33">
        <f>IF(E28=0,0,E28/M28)</f>
        <v>0</v>
      </c>
      <c r="F29" s="33">
        <f>IF(F28=0,0,F28/M28)</f>
        <v>0</v>
      </c>
      <c r="G29" s="33">
        <f>IF(G28=0,0,G28/M28)</f>
        <v>0</v>
      </c>
      <c r="H29" s="33">
        <f>IF(H28=0,0,H28/M28)</f>
        <v>0</v>
      </c>
      <c r="I29" s="33">
        <f>IF(I28=0,0,I28/M28)</f>
        <v>0</v>
      </c>
      <c r="J29" s="33">
        <f>IF(J28=0,0,J28/M28)</f>
        <v>0</v>
      </c>
      <c r="K29" s="33">
        <f>IF(K28=0,0,K28/M28)</f>
        <v>0</v>
      </c>
      <c r="L29" s="405">
        <f>IF(L28=0,0,L28/M28)</f>
        <v>0</v>
      </c>
      <c r="M29" s="409">
        <f>SUM(D29:L29)</f>
        <v>0</v>
      </c>
      <c r="N29" s="223"/>
      <c r="IU29" s="275"/>
    </row>
    <row r="30" spans="1:255" ht="12.75">
      <c r="A30" s="223"/>
      <c r="B30" s="223"/>
      <c r="C30" s="345" t="s">
        <v>134</v>
      </c>
      <c r="D30" s="27">
        <f>IF(D23-D25-D26&lt;0,(D23-D25-D26)*-1,0)</f>
        <v>0</v>
      </c>
      <c r="E30" s="27">
        <f>IF(E23-E25&lt;0,(E23-E25)*-1,0)</f>
        <v>0</v>
      </c>
      <c r="F30" s="27">
        <f aca="true" t="shared" si="8" ref="F30:L30">IF(F23-F25-F26&lt;0,(F23-F25-F26)*-1,0)</f>
        <v>0</v>
      </c>
      <c r="G30" s="27">
        <f t="shared" si="8"/>
        <v>0</v>
      </c>
      <c r="H30" s="27">
        <f t="shared" si="8"/>
        <v>0</v>
      </c>
      <c r="I30" s="27">
        <f t="shared" si="8"/>
        <v>0</v>
      </c>
      <c r="J30" s="27">
        <f t="shared" si="8"/>
        <v>0</v>
      </c>
      <c r="K30" s="27">
        <f t="shared" si="8"/>
        <v>0</v>
      </c>
      <c r="L30" s="194">
        <f t="shared" si="8"/>
        <v>0</v>
      </c>
      <c r="M30" s="410">
        <f>SUM(D30:L30)</f>
        <v>0</v>
      </c>
      <c r="N30" s="223"/>
      <c r="IU30" s="275"/>
    </row>
    <row r="31" spans="1:255" ht="12.75">
      <c r="A31" s="223"/>
      <c r="B31" s="223"/>
      <c r="C31" s="372" t="s">
        <v>263</v>
      </c>
      <c r="D31" s="349"/>
      <c r="E31" s="349"/>
      <c r="F31" s="195">
        <f aca="true" t="shared" si="9" ref="F31:L31">IF(F6="","",IF(F30&gt;0,"nein","ja"))</f>
      </c>
      <c r="G31" s="195">
        <f t="shared" si="9"/>
      </c>
      <c r="H31" s="195">
        <f t="shared" si="9"/>
      </c>
      <c r="I31" s="195">
        <f t="shared" si="9"/>
      </c>
      <c r="J31" s="195">
        <f t="shared" si="9"/>
      </c>
      <c r="K31" s="195">
        <f t="shared" si="9"/>
      </c>
      <c r="L31" s="406">
        <f t="shared" si="9"/>
      </c>
      <c r="M31" s="430"/>
      <c r="N31" s="223"/>
      <c r="IU31" s="275"/>
    </row>
    <row r="32" spans="1:255" s="297" customFormat="1" ht="11.25" hidden="1">
      <c r="A32" s="227"/>
      <c r="B32" s="227"/>
      <c r="C32" s="345" t="s">
        <v>262</v>
      </c>
      <c r="D32" s="418"/>
      <c r="E32" s="418"/>
      <c r="F32" s="133" t="str">
        <f>IF(F31="ja","FALSCH","WAHR")</f>
        <v>WAHR</v>
      </c>
      <c r="G32" s="133" t="str">
        <f aca="true" t="shared" si="10" ref="G32:L32">IF(G31="ja","FALSCH","WAHR")</f>
        <v>WAHR</v>
      </c>
      <c r="H32" s="133" t="str">
        <f t="shared" si="10"/>
        <v>WAHR</v>
      </c>
      <c r="I32" s="133" t="str">
        <f t="shared" si="10"/>
        <v>WAHR</v>
      </c>
      <c r="J32" s="133" t="str">
        <f t="shared" si="10"/>
        <v>WAHR</v>
      </c>
      <c r="K32" s="133" t="str">
        <f t="shared" si="10"/>
        <v>WAHR</v>
      </c>
      <c r="L32" s="407" t="str">
        <f t="shared" si="10"/>
        <v>WAHR</v>
      </c>
      <c r="M32" s="431"/>
      <c r="N32" s="227"/>
      <c r="IU32" s="298"/>
    </row>
    <row r="33" spans="1:255" s="297" customFormat="1" ht="11.25" hidden="1">
      <c r="A33" s="227"/>
      <c r="B33" s="227"/>
      <c r="C33" s="345" t="s">
        <v>264</v>
      </c>
      <c r="D33" s="418"/>
      <c r="E33" s="418"/>
      <c r="F33" s="133">
        <f aca="true" t="shared" si="11" ref="F33:L33">IF(F32,1,0)</f>
        <v>1</v>
      </c>
      <c r="G33" s="133">
        <f t="shared" si="11"/>
        <v>1</v>
      </c>
      <c r="H33" s="133">
        <f t="shared" si="11"/>
        <v>1</v>
      </c>
      <c r="I33" s="133">
        <f t="shared" si="11"/>
        <v>1</v>
      </c>
      <c r="J33" s="133">
        <f t="shared" si="11"/>
        <v>1</v>
      </c>
      <c r="K33" s="133">
        <f t="shared" si="11"/>
        <v>1</v>
      </c>
      <c r="L33" s="407">
        <f t="shared" si="11"/>
        <v>1</v>
      </c>
      <c r="M33" s="431">
        <f>SUM(F33:L33)</f>
        <v>7</v>
      </c>
      <c r="N33" s="227"/>
      <c r="IU33" s="298"/>
    </row>
    <row r="34" spans="1:255" ht="12.75">
      <c r="A34" s="223"/>
      <c r="B34" s="223"/>
      <c r="C34" s="345" t="s">
        <v>267</v>
      </c>
      <c r="D34" s="419"/>
      <c r="E34" s="420"/>
      <c r="F34" s="27">
        <f>IF(F33=0,0,IF(Einkommen!E8&lt;Anspruch!F30,Einkommen!E8,Anspruch!F30))</f>
        <v>0</v>
      </c>
      <c r="G34" s="27">
        <f>IF(G33=0,0,IF(Einkommen!F8&lt;Anspruch!G30,Einkommen!F8,Anspruch!G30))</f>
        <v>0</v>
      </c>
      <c r="H34" s="27">
        <f>IF(H33=0,0,IF(Einkommen!G8&lt;Anspruch!H30,Einkommen!G8,Anspruch!H30))</f>
        <v>0</v>
      </c>
      <c r="I34" s="27">
        <f>IF(I33=0,0,IF(Einkommen!H8&lt;Anspruch!I30,Einkommen!H8,Anspruch!I30))</f>
        <v>0</v>
      </c>
      <c r="J34" s="27">
        <f>IF(J33=0,0,IF(Einkommen!I8&lt;Anspruch!J30,Einkommen!I8,Anspruch!J30))</f>
        <v>0</v>
      </c>
      <c r="K34" s="27">
        <f>IF(K33=0,0,IF(Einkommen!J8&lt;Anspruch!K30,Einkommen!J8,Anspruch!K30))</f>
        <v>0</v>
      </c>
      <c r="L34" s="194">
        <f>IF(L33=0,0,IF(Einkommen!K8&lt;Anspruch!L30,Einkommen!K8,Anspruch!L30))</f>
        <v>0</v>
      </c>
      <c r="M34" s="432"/>
      <c r="N34" s="223"/>
      <c r="IU34" s="275"/>
    </row>
    <row r="35" spans="1:255" ht="12.75">
      <c r="A35" s="223"/>
      <c r="B35" s="223"/>
      <c r="C35" s="345" t="s">
        <v>261</v>
      </c>
      <c r="D35" s="27">
        <f>IF(D30&gt;0,D30,0)</f>
        <v>0</v>
      </c>
      <c r="E35" s="27">
        <f>IF(E30&gt;0,E30,0)</f>
        <v>0</v>
      </c>
      <c r="F35" s="194">
        <f>F34</f>
        <v>0</v>
      </c>
      <c r="G35" s="194">
        <f aca="true" t="shared" si="12" ref="G35:L35">G34</f>
        <v>0</v>
      </c>
      <c r="H35" s="194">
        <f t="shared" si="12"/>
        <v>0</v>
      </c>
      <c r="I35" s="194">
        <f t="shared" si="12"/>
        <v>0</v>
      </c>
      <c r="J35" s="194">
        <f t="shared" si="12"/>
        <v>0</v>
      </c>
      <c r="K35" s="194">
        <f t="shared" si="12"/>
        <v>0</v>
      </c>
      <c r="L35" s="194">
        <f t="shared" si="12"/>
        <v>0</v>
      </c>
      <c r="M35" s="410">
        <f>SUM(D35:L35)</f>
        <v>0</v>
      </c>
      <c r="N35" s="223"/>
      <c r="IU35" s="275"/>
    </row>
    <row r="36" spans="1:255" ht="12.75">
      <c r="A36" s="223"/>
      <c r="B36" s="223"/>
      <c r="C36" s="345" t="s">
        <v>266</v>
      </c>
      <c r="D36" s="27">
        <f>M35*D29</f>
        <v>0</v>
      </c>
      <c r="E36" s="27">
        <f>IF(E29=0,0,M35*E29)</f>
        <v>0</v>
      </c>
      <c r="F36" s="27">
        <f>IF(F29=0,0,M35*F29)</f>
        <v>0</v>
      </c>
      <c r="G36" s="27">
        <f>IF(G29=0,0,M35*G29)</f>
        <v>0</v>
      </c>
      <c r="H36" s="27">
        <f>IF(H29=0,0,M35*H29)</f>
        <v>0</v>
      </c>
      <c r="I36" s="27">
        <f>IF(I29=0,0,M35*I29)</f>
        <v>0</v>
      </c>
      <c r="J36" s="27">
        <f>IF(J29=0,0,M35*J29)</f>
        <v>0</v>
      </c>
      <c r="K36" s="27">
        <f>IF(K29=0,0,M35*K29)</f>
        <v>0</v>
      </c>
      <c r="L36" s="194">
        <f>IF(L29=0,0,M35*L29)</f>
        <v>0</v>
      </c>
      <c r="M36" s="410">
        <f>SUM(D36:L36)</f>
        <v>0</v>
      </c>
      <c r="N36" s="223"/>
      <c r="IU36" s="275"/>
    </row>
    <row r="37" spans="1:255" ht="12.75">
      <c r="A37" s="223"/>
      <c r="B37" s="223"/>
      <c r="C37" s="345"/>
      <c r="D37" s="404"/>
      <c r="E37" s="404"/>
      <c r="F37" s="404"/>
      <c r="G37" s="404"/>
      <c r="H37" s="404"/>
      <c r="I37" s="404"/>
      <c r="J37" s="404"/>
      <c r="K37" s="404"/>
      <c r="L37" s="404"/>
      <c r="M37" s="401"/>
      <c r="N37" s="223"/>
      <c r="IU37" s="275"/>
    </row>
    <row r="38" spans="1:255" ht="12.75">
      <c r="A38" s="333" t="s">
        <v>9</v>
      </c>
      <c r="B38" s="507" t="s">
        <v>91</v>
      </c>
      <c r="C38" s="441"/>
      <c r="D38" s="152">
        <f>IF(D28-D36&gt;0,D28-D36,0)</f>
        <v>0</v>
      </c>
      <c r="E38" s="152">
        <f aca="true" t="shared" si="13" ref="E38:M38">IF(E28-E36&gt;0,E28-E36,0)</f>
        <v>0</v>
      </c>
      <c r="F38" s="152">
        <f>IF(F28-F36&gt;0,F28-F36,0)</f>
        <v>0</v>
      </c>
      <c r="G38" s="152">
        <f t="shared" si="13"/>
        <v>0</v>
      </c>
      <c r="H38" s="152">
        <f t="shared" si="13"/>
        <v>0</v>
      </c>
      <c r="I38" s="152">
        <f t="shared" si="13"/>
        <v>0</v>
      </c>
      <c r="J38" s="152">
        <f t="shared" si="13"/>
        <v>0</v>
      </c>
      <c r="K38" s="152">
        <f t="shared" si="13"/>
        <v>0</v>
      </c>
      <c r="L38" s="152">
        <f t="shared" si="13"/>
        <v>0</v>
      </c>
      <c r="M38" s="410">
        <f t="shared" si="13"/>
        <v>0</v>
      </c>
      <c r="N38" s="223"/>
      <c r="IU38" s="275"/>
    </row>
    <row r="39" spans="1:255" ht="12.75">
      <c r="A39" s="333"/>
      <c r="B39" s="387"/>
      <c r="C39" s="415"/>
      <c r="D39" s="402"/>
      <c r="E39" s="402"/>
      <c r="F39" s="402"/>
      <c r="G39" s="402"/>
      <c r="H39" s="402"/>
      <c r="I39" s="402"/>
      <c r="J39" s="402"/>
      <c r="K39" s="402"/>
      <c r="L39" s="402"/>
      <c r="M39" s="402"/>
      <c r="N39" s="223"/>
      <c r="IU39" s="275"/>
    </row>
    <row r="40" spans="1:255" ht="12.75">
      <c r="A40" s="333" t="s">
        <v>35</v>
      </c>
      <c r="B40" s="416" t="s">
        <v>452</v>
      </c>
      <c r="C40" s="417"/>
      <c r="D40" s="403"/>
      <c r="E40" s="403"/>
      <c r="F40" s="403"/>
      <c r="G40" s="403"/>
      <c r="H40" s="403"/>
      <c r="I40" s="403"/>
      <c r="J40" s="403"/>
      <c r="K40" s="403"/>
      <c r="L40" s="403"/>
      <c r="M40" s="403"/>
      <c r="N40" s="223"/>
      <c r="IU40" s="275"/>
    </row>
    <row r="41" spans="1:255" ht="12.75">
      <c r="A41" s="333"/>
      <c r="B41" s="416"/>
      <c r="C41" s="417"/>
      <c r="D41" s="403"/>
      <c r="E41" s="403"/>
      <c r="F41" s="403"/>
      <c r="G41" s="403"/>
      <c r="H41" s="403"/>
      <c r="I41" s="403"/>
      <c r="J41" s="403"/>
      <c r="K41" s="403"/>
      <c r="L41" s="403"/>
      <c r="M41" s="403"/>
      <c r="N41" s="223"/>
      <c r="IU41" s="275"/>
    </row>
    <row r="42" spans="1:255" ht="12.75">
      <c r="A42" s="333"/>
      <c r="B42" s="503" t="s">
        <v>441</v>
      </c>
      <c r="C42" s="501"/>
      <c r="D42" s="8"/>
      <c r="E42" s="5"/>
      <c r="F42" s="502">
        <f>M13-D12</f>
        <v>0</v>
      </c>
      <c r="G42" s="223"/>
      <c r="H42" s="223"/>
      <c r="I42" s="403"/>
      <c r="J42" s="403"/>
      <c r="K42" s="403"/>
      <c r="L42" s="403"/>
      <c r="M42" s="403"/>
      <c r="N42" s="223"/>
      <c r="IU42" s="275"/>
    </row>
    <row r="43" spans="1:255" ht="12.75">
      <c r="A43" s="333"/>
      <c r="B43" s="508" t="s">
        <v>438</v>
      </c>
      <c r="C43" s="508"/>
      <c r="D43" s="79"/>
      <c r="E43" s="509">
        <f>M25</f>
        <v>0</v>
      </c>
      <c r="F43" s="80"/>
      <c r="G43" s="223"/>
      <c r="H43" s="223"/>
      <c r="I43" s="223"/>
      <c r="J43" s="223"/>
      <c r="K43" s="223"/>
      <c r="L43" s="223"/>
      <c r="M43" s="223"/>
      <c r="N43" s="223"/>
      <c r="IU43" s="275"/>
    </row>
    <row r="44" spans="1:255" ht="12.75">
      <c r="A44" s="333"/>
      <c r="B44" s="500" t="s">
        <v>439</v>
      </c>
      <c r="C44" s="498"/>
      <c r="D44" s="8"/>
      <c r="E44" s="499">
        <f>M26</f>
        <v>0</v>
      </c>
      <c r="F44" s="8"/>
      <c r="G44" s="223"/>
      <c r="H44" s="223"/>
      <c r="I44" s="223"/>
      <c r="J44" s="223"/>
      <c r="K44" s="223"/>
      <c r="L44" s="223"/>
      <c r="M44" s="223"/>
      <c r="N44" s="223"/>
      <c r="IU44" s="275"/>
    </row>
    <row r="45" spans="1:255" ht="12.75">
      <c r="A45" s="333"/>
      <c r="B45" s="500" t="s">
        <v>440</v>
      </c>
      <c r="C45" s="498"/>
      <c r="D45" s="8"/>
      <c r="E45" s="499">
        <f>Kinderzuschlag!F81</f>
        <v>0</v>
      </c>
      <c r="F45" s="8"/>
      <c r="G45" s="223"/>
      <c r="H45" s="223"/>
      <c r="I45" s="223"/>
      <c r="J45" s="223"/>
      <c r="K45" s="223"/>
      <c r="L45" s="223"/>
      <c r="M45" s="223"/>
      <c r="N45" s="223"/>
      <c r="IU45" s="275"/>
    </row>
    <row r="46" spans="1:255" ht="12.75">
      <c r="A46" s="333"/>
      <c r="B46" s="510"/>
      <c r="C46" s="89"/>
      <c r="D46" s="511" t="s">
        <v>23</v>
      </c>
      <c r="E46" s="512">
        <f>SUM(E43:E45)</f>
        <v>0</v>
      </c>
      <c r="F46" s="513">
        <f>E46</f>
        <v>0</v>
      </c>
      <c r="G46" s="223"/>
      <c r="H46" s="223"/>
      <c r="I46" s="223"/>
      <c r="J46" s="223"/>
      <c r="K46" s="223"/>
      <c r="L46" s="223"/>
      <c r="M46" s="223"/>
      <c r="N46" s="223"/>
      <c r="IU46" s="275"/>
    </row>
    <row r="47" spans="1:255" ht="12.75">
      <c r="A47" s="333"/>
      <c r="B47" s="498"/>
      <c r="C47" s="5"/>
      <c r="D47" s="8"/>
      <c r="E47" s="87" t="str">
        <f>IF(F47&gt;0,"Differenz = ungedeckter Bedarf","Differenz: übersteigender Betrag")</f>
        <v>Differenz: übersteigender Betrag</v>
      </c>
      <c r="F47" s="499">
        <f>F42-F46</f>
        <v>0</v>
      </c>
      <c r="G47" s="223"/>
      <c r="H47" s="223"/>
      <c r="I47" s="223"/>
      <c r="J47" s="223"/>
      <c r="K47" s="223"/>
      <c r="L47" s="223"/>
      <c r="M47" s="223"/>
      <c r="N47" s="223"/>
      <c r="IU47" s="275"/>
    </row>
    <row r="48" spans="1:255" ht="12.75">
      <c r="A48" s="333"/>
      <c r="B48" s="422" t="str">
        <f>IF(E45=0,"(Prüfung entfällt, da kein Anspruch auf Kinderzuschlag)",IF(F46&gt;F42,"Das anrechenbare Einkommen/Vermögen inkl. Wohngeld und Kinderzuschlag reicht zur Deckung des Bedarfs aus. Daher entfällt die Zahlung von ALG II / Sozialgeld.","Der Bedarf kann auch mit Wohngeld und Kinderzuschlag nicht gedeckt werden. Es besteht Anspruch auf Zahlung von ALG II / Sozialgeld."))</f>
        <v>(Prüfung entfällt, da kein Anspruch auf Kinderzuschlag)</v>
      </c>
      <c r="C48" s="223"/>
      <c r="D48" s="223"/>
      <c r="E48" s="403"/>
      <c r="F48" s="403"/>
      <c r="G48" s="403"/>
      <c r="H48" s="223"/>
      <c r="I48" s="223"/>
      <c r="J48" s="223"/>
      <c r="K48" s="223"/>
      <c r="L48" s="223"/>
      <c r="M48" s="223"/>
      <c r="N48" s="223"/>
      <c r="IU48" s="275"/>
    </row>
    <row r="49" spans="1:255" ht="13.5" thickBot="1">
      <c r="A49" s="333"/>
      <c r="B49" s="421"/>
      <c r="C49" s="422"/>
      <c r="D49" s="223"/>
      <c r="E49" s="403"/>
      <c r="F49" s="403"/>
      <c r="G49" s="403"/>
      <c r="H49" s="223"/>
      <c r="I49" s="223"/>
      <c r="J49" s="223"/>
      <c r="K49" s="223"/>
      <c r="L49" s="223"/>
      <c r="M49" s="223"/>
      <c r="N49" s="223"/>
      <c r="IU49" s="275"/>
    </row>
    <row r="50" spans="1:255" ht="15.75" thickTop="1">
      <c r="A50" s="413"/>
      <c r="B50" s="514"/>
      <c r="C50" s="515"/>
      <c r="D50" s="515"/>
      <c r="E50" s="516" t="s">
        <v>194</v>
      </c>
      <c r="F50" s="517">
        <f>IF(F53&gt;0,0,M38)</f>
        <v>0</v>
      </c>
      <c r="G50" s="403"/>
      <c r="H50" s="223"/>
      <c r="I50" s="223"/>
      <c r="J50" s="223"/>
      <c r="K50" s="223"/>
      <c r="L50" s="223"/>
      <c r="M50" s="223"/>
      <c r="N50" s="223"/>
      <c r="IU50" s="275"/>
    </row>
    <row r="51" spans="1:255" ht="15">
      <c r="A51" s="414"/>
      <c r="B51" s="518"/>
      <c r="C51" s="519"/>
      <c r="D51" s="520"/>
      <c r="E51" s="521" t="s">
        <v>444</v>
      </c>
      <c r="F51" s="522">
        <f>Einkommen!C9+Einkommen!D9</f>
        <v>0</v>
      </c>
      <c r="G51" s="223"/>
      <c r="H51" s="223"/>
      <c r="I51" s="223"/>
      <c r="J51" s="223"/>
      <c r="K51" s="223"/>
      <c r="L51" s="223"/>
      <c r="M51" s="223"/>
      <c r="N51" s="223"/>
      <c r="IU51" s="275"/>
    </row>
    <row r="52" spans="1:255" ht="15.75" thickBot="1">
      <c r="A52" s="414"/>
      <c r="B52" s="523"/>
      <c r="C52" s="524"/>
      <c r="D52" s="525"/>
      <c r="E52" s="525" t="s">
        <v>445</v>
      </c>
      <c r="F52" s="526">
        <f>IF(F53&gt;0,0,ROUND(SUM(F50:F51),0))</f>
        <v>0</v>
      </c>
      <c r="G52" s="223"/>
      <c r="H52" s="223"/>
      <c r="I52" s="223"/>
      <c r="J52" s="223"/>
      <c r="K52" s="223"/>
      <c r="L52" s="223"/>
      <c r="M52" s="223"/>
      <c r="N52" s="223"/>
      <c r="IU52" s="275"/>
    </row>
    <row r="53" spans="1:255" ht="16.5" thickBot="1" thickTop="1">
      <c r="A53" s="414"/>
      <c r="B53" s="527"/>
      <c r="C53" s="524"/>
      <c r="D53" s="525"/>
      <c r="E53" s="528" t="s">
        <v>453</v>
      </c>
      <c r="F53" s="526">
        <f>IF(F47&lt;0,E45,0)</f>
        <v>0</v>
      </c>
      <c r="G53" s="223"/>
      <c r="H53" s="223"/>
      <c r="I53" s="223"/>
      <c r="J53" s="223"/>
      <c r="K53" s="223"/>
      <c r="L53" s="223"/>
      <c r="M53" s="223"/>
      <c r="N53" s="223"/>
      <c r="IU53" s="275"/>
    </row>
    <row r="54" spans="1:255" ht="13.5" thickTop="1">
      <c r="A54" s="414"/>
      <c r="B54" s="223"/>
      <c r="C54" s="423"/>
      <c r="D54" s="424"/>
      <c r="E54" s="223"/>
      <c r="F54" s="425"/>
      <c r="G54" s="424"/>
      <c r="H54" s="424"/>
      <c r="I54" s="424"/>
      <c r="J54" s="424"/>
      <c r="K54" s="424"/>
      <c r="L54" s="424"/>
      <c r="M54" s="404"/>
      <c r="N54" s="223"/>
      <c r="IU54" s="275"/>
    </row>
    <row r="55" spans="1:255" ht="12.75">
      <c r="A55" s="223"/>
      <c r="B55" s="223"/>
      <c r="C55" s="223"/>
      <c r="D55" s="223"/>
      <c r="E55" s="223"/>
      <c r="F55" s="223"/>
      <c r="G55" s="223"/>
      <c r="H55" s="223"/>
      <c r="I55" s="223"/>
      <c r="J55" s="223"/>
      <c r="K55" s="223"/>
      <c r="L55" s="223"/>
      <c r="M55" s="223"/>
      <c r="N55" s="223"/>
      <c r="IU55" s="275"/>
    </row>
    <row r="56" spans="1:255" ht="12.75">
      <c r="A56" s="333" t="s">
        <v>100</v>
      </c>
      <c r="B56" s="333" t="s">
        <v>158</v>
      </c>
      <c r="C56" s="223"/>
      <c r="D56" s="404"/>
      <c r="E56" s="404"/>
      <c r="F56" s="404"/>
      <c r="G56" s="404"/>
      <c r="H56" s="404"/>
      <c r="I56" s="404"/>
      <c r="J56" s="404"/>
      <c r="K56" s="404"/>
      <c r="L56" s="404"/>
      <c r="M56" s="404"/>
      <c r="N56" s="223"/>
      <c r="IU56" s="275"/>
    </row>
    <row r="57" spans="1:255" ht="12.75">
      <c r="A57" s="223"/>
      <c r="B57" s="223"/>
      <c r="C57" s="223"/>
      <c r="D57" s="131">
        <f>D6</f>
      </c>
      <c r="E57" s="131">
        <f aca="true" t="shared" si="14" ref="E57:L57">E6</f>
      </c>
      <c r="F57" s="131">
        <f t="shared" si="14"/>
      </c>
      <c r="G57" s="131">
        <f t="shared" si="14"/>
      </c>
      <c r="H57" s="131">
        <f t="shared" si="14"/>
      </c>
      <c r="I57" s="131">
        <f t="shared" si="14"/>
      </c>
      <c r="J57" s="131">
        <f t="shared" si="14"/>
      </c>
      <c r="K57" s="131">
        <f t="shared" si="14"/>
      </c>
      <c r="L57" s="131">
        <f t="shared" si="14"/>
      </c>
      <c r="M57" s="404"/>
      <c r="N57" s="223"/>
      <c r="IU57" s="275"/>
    </row>
    <row r="58" spans="1:255" ht="12.75">
      <c r="A58" s="223"/>
      <c r="B58" s="126" t="s">
        <v>159</v>
      </c>
      <c r="C58" s="127"/>
      <c r="D58" s="27">
        <f>'ALG II'!G76</f>
        <v>0</v>
      </c>
      <c r="E58" s="27">
        <f>'ALG II'!I76</f>
        <v>0</v>
      </c>
      <c r="F58" s="27">
        <f>'ALG II'!K76</f>
        <v>0</v>
      </c>
      <c r="G58" s="27">
        <f>'ALG II'!M76</f>
        <v>0</v>
      </c>
      <c r="H58" s="27">
        <f>Sozialgeld!F30</f>
        <v>0</v>
      </c>
      <c r="I58" s="27">
        <f>Sozialgeld!H30</f>
        <v>0</v>
      </c>
      <c r="J58" s="27">
        <f>Sozialgeld!J30</f>
        <v>0</v>
      </c>
      <c r="K58" s="27">
        <f>Sozialgeld!L30</f>
        <v>0</v>
      </c>
      <c r="L58" s="27">
        <f>Sozialgeld!N30</f>
        <v>0</v>
      </c>
      <c r="M58" s="427">
        <f>SUM(D58:L58)</f>
        <v>0</v>
      </c>
      <c r="N58" s="223"/>
      <c r="IU58" s="275"/>
    </row>
    <row r="59" spans="1:255" ht="12.75">
      <c r="A59" s="223"/>
      <c r="B59" s="116" t="s">
        <v>169</v>
      </c>
      <c r="C59" s="126"/>
      <c r="D59" s="130">
        <f>IF(D58=0,0,D58/M58)</f>
        <v>0</v>
      </c>
      <c r="E59" s="130">
        <f>IF(E58=0,0,E58/M58)</f>
        <v>0</v>
      </c>
      <c r="F59" s="130">
        <f>IF(F58=0,0,F58/M58)</f>
        <v>0</v>
      </c>
      <c r="G59" s="130">
        <f>IF(G58=0,0,G58/M58)</f>
        <v>0</v>
      </c>
      <c r="H59" s="130">
        <f>IF(H58=0,0,H58/M58)</f>
        <v>0</v>
      </c>
      <c r="I59" s="130">
        <f>IF(I58=0,0,I58/M58)</f>
        <v>0</v>
      </c>
      <c r="J59" s="130">
        <f>IF(J58=0,0,J58/M58)</f>
        <v>0</v>
      </c>
      <c r="K59" s="130">
        <f>IF(K58=0,0,K58/M58)</f>
        <v>0</v>
      </c>
      <c r="L59" s="130">
        <f>IF(L58=0,0,L58/M58)</f>
        <v>0</v>
      </c>
      <c r="M59" s="437">
        <f>SUM(D59:L59)</f>
        <v>0</v>
      </c>
      <c r="N59" s="223"/>
      <c r="IU59" s="275"/>
    </row>
    <row r="60" spans="1:255" ht="12.75">
      <c r="A60" s="223"/>
      <c r="B60" s="228"/>
      <c r="C60" s="228"/>
      <c r="D60" s="223"/>
      <c r="E60" s="223"/>
      <c r="F60" s="223"/>
      <c r="G60" s="223"/>
      <c r="H60" s="223"/>
      <c r="I60" s="223"/>
      <c r="J60" s="223"/>
      <c r="K60" s="223"/>
      <c r="L60" s="223"/>
      <c r="M60" s="223"/>
      <c r="N60" s="223"/>
      <c r="IU60" s="275"/>
    </row>
    <row r="61" spans="1:255" ht="12.75">
      <c r="A61" s="223"/>
      <c r="B61" s="126" t="s">
        <v>160</v>
      </c>
      <c r="C61" s="128"/>
      <c r="D61" s="27">
        <f>D23</f>
        <v>0</v>
      </c>
      <c r="E61" s="27">
        <f aca="true" t="shared" si="15" ref="E61:L61">E23</f>
        <v>0</v>
      </c>
      <c r="F61" s="27">
        <f t="shared" si="15"/>
        <v>0</v>
      </c>
      <c r="G61" s="27">
        <f t="shared" si="15"/>
        <v>0</v>
      </c>
      <c r="H61" s="27">
        <f t="shared" si="15"/>
        <v>0</v>
      </c>
      <c r="I61" s="27">
        <f t="shared" si="15"/>
        <v>0</v>
      </c>
      <c r="J61" s="27">
        <f t="shared" si="15"/>
        <v>0</v>
      </c>
      <c r="K61" s="27">
        <f t="shared" si="15"/>
        <v>0</v>
      </c>
      <c r="L61" s="27">
        <f t="shared" si="15"/>
        <v>0</v>
      </c>
      <c r="M61" s="427">
        <f aca="true" t="shared" si="16" ref="M61:M72">SUM(D61:L61)</f>
        <v>0</v>
      </c>
      <c r="N61" s="223"/>
      <c r="IU61" s="275"/>
    </row>
    <row r="62" spans="1:255" ht="12.75">
      <c r="A62" s="223"/>
      <c r="B62" s="126" t="s">
        <v>442</v>
      </c>
      <c r="C62" s="128"/>
      <c r="D62" s="27">
        <f>D25</f>
        <v>0</v>
      </c>
      <c r="E62" s="27">
        <f>E25</f>
        <v>0</v>
      </c>
      <c r="F62" s="27">
        <f aca="true" t="shared" si="17" ref="F62:L62">F25</f>
        <v>0</v>
      </c>
      <c r="G62" s="27">
        <f t="shared" si="17"/>
        <v>0</v>
      </c>
      <c r="H62" s="27">
        <f t="shared" si="17"/>
        <v>0</v>
      </c>
      <c r="I62" s="27">
        <f t="shared" si="17"/>
        <v>0</v>
      </c>
      <c r="J62" s="27">
        <f t="shared" si="17"/>
        <v>0</v>
      </c>
      <c r="K62" s="27">
        <f t="shared" si="17"/>
        <v>0</v>
      </c>
      <c r="L62" s="27">
        <f t="shared" si="17"/>
        <v>0</v>
      </c>
      <c r="M62" s="427">
        <f t="shared" si="16"/>
        <v>0</v>
      </c>
      <c r="N62" s="223"/>
      <c r="IU62" s="275"/>
    </row>
    <row r="63" spans="1:255" ht="12.75">
      <c r="A63" s="223"/>
      <c r="B63" s="126" t="s">
        <v>164</v>
      </c>
      <c r="C63" s="128"/>
      <c r="D63" s="27">
        <f>IF(D61-D62&gt;0,D61-D62,0)</f>
        <v>0</v>
      </c>
      <c r="E63" s="27">
        <f aca="true" t="shared" si="18" ref="E63:L63">IF(E61-E62&gt;0,E61-E62,0)</f>
        <v>0</v>
      </c>
      <c r="F63" s="27">
        <f t="shared" si="18"/>
        <v>0</v>
      </c>
      <c r="G63" s="27">
        <f t="shared" si="18"/>
        <v>0</v>
      </c>
      <c r="H63" s="27">
        <f t="shared" si="18"/>
        <v>0</v>
      </c>
      <c r="I63" s="27">
        <f t="shared" si="18"/>
        <v>0</v>
      </c>
      <c r="J63" s="27">
        <f t="shared" si="18"/>
        <v>0</v>
      </c>
      <c r="K63" s="27">
        <f t="shared" si="18"/>
        <v>0</v>
      </c>
      <c r="L63" s="27">
        <f t="shared" si="18"/>
        <v>0</v>
      </c>
      <c r="M63" s="427">
        <f t="shared" si="16"/>
        <v>0</v>
      </c>
      <c r="N63" s="223"/>
      <c r="IU63" s="275"/>
    </row>
    <row r="64" spans="1:255" ht="12.75">
      <c r="A64" s="223"/>
      <c r="B64" s="116" t="s">
        <v>166</v>
      </c>
      <c r="C64" s="128"/>
      <c r="D64" s="33">
        <f>IF(D63=0,0,D63/M63)</f>
        <v>0</v>
      </c>
      <c r="E64" s="33">
        <f>IF(E63=0,0,E63/M63)</f>
        <v>0</v>
      </c>
      <c r="F64" s="33">
        <f>IF(F63=0,0,F63/M63)</f>
        <v>0</v>
      </c>
      <c r="G64" s="33">
        <f>IF(G63=0,0,G63/M63)</f>
        <v>0</v>
      </c>
      <c r="H64" s="33">
        <f>IF(H63=0,0,H63/M63)</f>
        <v>0</v>
      </c>
      <c r="I64" s="33">
        <f>IF(I63=0,0,I63/M63)</f>
        <v>0</v>
      </c>
      <c r="J64" s="33">
        <f>IF(J63=0,0,J63/M63)</f>
        <v>0</v>
      </c>
      <c r="K64" s="33">
        <f>IF(K63=0,0,K63/M63)</f>
        <v>0</v>
      </c>
      <c r="L64" s="33">
        <f>IF(L63=0,0,L63/M63)</f>
        <v>0</v>
      </c>
      <c r="M64" s="438">
        <f t="shared" si="16"/>
        <v>0</v>
      </c>
      <c r="N64" s="223"/>
      <c r="IU64" s="275"/>
    </row>
    <row r="65" spans="1:255" ht="12.75">
      <c r="A65" s="223"/>
      <c r="B65" s="129" t="s">
        <v>162</v>
      </c>
      <c r="C65" s="128"/>
      <c r="D65" s="27">
        <f>IF(D62-D61&gt;0,D62-D61,0)</f>
        <v>0</v>
      </c>
      <c r="E65" s="27">
        <f aca="true" t="shared" si="19" ref="E65:L65">IF(E62-E61&gt;0,E62-E61,0)</f>
        <v>0</v>
      </c>
      <c r="F65" s="27">
        <f t="shared" si="19"/>
        <v>0</v>
      </c>
      <c r="G65" s="27">
        <f t="shared" si="19"/>
        <v>0</v>
      </c>
      <c r="H65" s="27">
        <f t="shared" si="19"/>
        <v>0</v>
      </c>
      <c r="I65" s="27">
        <f t="shared" si="19"/>
        <v>0</v>
      </c>
      <c r="J65" s="27">
        <f t="shared" si="19"/>
        <v>0</v>
      </c>
      <c r="K65" s="27">
        <f t="shared" si="19"/>
        <v>0</v>
      </c>
      <c r="L65" s="27">
        <f t="shared" si="19"/>
        <v>0</v>
      </c>
      <c r="M65" s="427">
        <f t="shared" si="16"/>
        <v>0</v>
      </c>
      <c r="N65" s="223"/>
      <c r="IU65" s="275"/>
    </row>
    <row r="66" spans="1:255" ht="12.75">
      <c r="A66" s="223"/>
      <c r="B66" s="129" t="s">
        <v>165</v>
      </c>
      <c r="C66" s="128"/>
      <c r="D66" s="27">
        <f>M65*D64</f>
        <v>0</v>
      </c>
      <c r="E66" s="27">
        <f>M65*E64</f>
        <v>0</v>
      </c>
      <c r="F66" s="27">
        <f>M65*F64</f>
        <v>0</v>
      </c>
      <c r="G66" s="27">
        <f>M65*G64</f>
        <v>0</v>
      </c>
      <c r="H66" s="27">
        <f>M65*H64</f>
        <v>0</v>
      </c>
      <c r="I66" s="27">
        <f>M65*I64</f>
        <v>0</v>
      </c>
      <c r="J66" s="27">
        <f>M65*J64</f>
        <v>0</v>
      </c>
      <c r="K66" s="27">
        <f>M65*K64</f>
        <v>0</v>
      </c>
      <c r="L66" s="27">
        <f>M65*L64</f>
        <v>0</v>
      </c>
      <c r="M66" s="427">
        <f t="shared" si="16"/>
        <v>0</v>
      </c>
      <c r="N66" s="223"/>
      <c r="IU66" s="275"/>
    </row>
    <row r="67" spans="1:255" ht="12.75">
      <c r="A67" s="223"/>
      <c r="B67" s="129" t="s">
        <v>164</v>
      </c>
      <c r="C67" s="128"/>
      <c r="D67" s="27">
        <f>IF(D63-D66&lt;0,0,D63-D66)</f>
        <v>0</v>
      </c>
      <c r="E67" s="27">
        <f aca="true" t="shared" si="20" ref="E67:L67">IF(E63-E66&lt;0,0,E63-E66)</f>
        <v>0</v>
      </c>
      <c r="F67" s="27">
        <f t="shared" si="20"/>
        <v>0</v>
      </c>
      <c r="G67" s="27">
        <f t="shared" si="20"/>
        <v>0</v>
      </c>
      <c r="H67" s="27">
        <f t="shared" si="20"/>
        <v>0</v>
      </c>
      <c r="I67" s="27">
        <f t="shared" si="20"/>
        <v>0</v>
      </c>
      <c r="J67" s="27">
        <f t="shared" si="20"/>
        <v>0</v>
      </c>
      <c r="K67" s="27">
        <f t="shared" si="20"/>
        <v>0</v>
      </c>
      <c r="L67" s="27">
        <f t="shared" si="20"/>
        <v>0</v>
      </c>
      <c r="M67" s="427">
        <f t="shared" si="16"/>
        <v>0</v>
      </c>
      <c r="N67" s="223"/>
      <c r="IU67" s="275"/>
    </row>
    <row r="68" spans="1:255" ht="12.75">
      <c r="A68" s="223"/>
      <c r="B68" s="129" t="s">
        <v>162</v>
      </c>
      <c r="C68" s="128"/>
      <c r="D68" s="27">
        <f>IF(D66+D67=0,D65,IF(D63-D66&lt;0,(D63-D66)*(-1),0))</f>
        <v>0</v>
      </c>
      <c r="E68" s="27">
        <f aca="true" t="shared" si="21" ref="E68:L68">IF(E63-E66&lt;0,(E63-E66)*(-1),0)</f>
        <v>0</v>
      </c>
      <c r="F68" s="27">
        <f t="shared" si="21"/>
        <v>0</v>
      </c>
      <c r="G68" s="27">
        <f t="shared" si="21"/>
        <v>0</v>
      </c>
      <c r="H68" s="27">
        <f t="shared" si="21"/>
        <v>0</v>
      </c>
      <c r="I68" s="27">
        <f t="shared" si="21"/>
        <v>0</v>
      </c>
      <c r="J68" s="27">
        <f t="shared" si="21"/>
        <v>0</v>
      </c>
      <c r="K68" s="27">
        <f t="shared" si="21"/>
        <v>0</v>
      </c>
      <c r="L68" s="27">
        <f t="shared" si="21"/>
        <v>0</v>
      </c>
      <c r="M68" s="427">
        <f t="shared" si="16"/>
        <v>0</v>
      </c>
      <c r="N68" s="223"/>
      <c r="IU68" s="275"/>
    </row>
    <row r="69" spans="1:255" ht="12.75">
      <c r="A69" s="223"/>
      <c r="B69" s="129" t="s">
        <v>161</v>
      </c>
      <c r="C69" s="128"/>
      <c r="D69" s="27">
        <f>D68*7</f>
        <v>0</v>
      </c>
      <c r="E69" s="27">
        <f aca="true" t="shared" si="22" ref="E69:L69">E68*7</f>
        <v>0</v>
      </c>
      <c r="F69" s="27">
        <f t="shared" si="22"/>
        <v>0</v>
      </c>
      <c r="G69" s="27">
        <f t="shared" si="22"/>
        <v>0</v>
      </c>
      <c r="H69" s="27">
        <f t="shared" si="22"/>
        <v>0</v>
      </c>
      <c r="I69" s="27">
        <f t="shared" si="22"/>
        <v>0</v>
      </c>
      <c r="J69" s="27">
        <f t="shared" si="22"/>
        <v>0</v>
      </c>
      <c r="K69" s="27">
        <f t="shared" si="22"/>
        <v>0</v>
      </c>
      <c r="L69" s="27">
        <f t="shared" si="22"/>
        <v>0</v>
      </c>
      <c r="M69" s="427">
        <f t="shared" si="16"/>
        <v>0</v>
      </c>
      <c r="N69" s="223"/>
      <c r="IU69" s="275"/>
    </row>
    <row r="70" spans="1:255" ht="12.75">
      <c r="A70" s="223"/>
      <c r="B70" s="129" t="s">
        <v>165</v>
      </c>
      <c r="C70" s="128"/>
      <c r="D70" s="27">
        <f>IF(D58=0,0,M69*D59)</f>
        <v>0</v>
      </c>
      <c r="E70" s="27">
        <f>IF(E58=0,0,M69*E59)</f>
        <v>0</v>
      </c>
      <c r="F70" s="27">
        <f>IF(F58=0,0,M69*F59)</f>
        <v>0</v>
      </c>
      <c r="G70" s="27">
        <f>IF(G58=0,0,M69*G59)</f>
        <v>0</v>
      </c>
      <c r="H70" s="27">
        <f>IF(H58=0,0,M69*H59)</f>
        <v>0</v>
      </c>
      <c r="I70" s="27">
        <f>IF(I58=0,0,M69*I59)</f>
        <v>0</v>
      </c>
      <c r="J70" s="27">
        <f>IF(J58=0,0,M69*J59)</f>
        <v>0</v>
      </c>
      <c r="K70" s="27">
        <f>IF(K58=0,0,M69*K59)</f>
        <v>0</v>
      </c>
      <c r="L70" s="27">
        <f>IF(L58=0,0,M69*L59)</f>
        <v>0</v>
      </c>
      <c r="M70" s="427">
        <f t="shared" si="16"/>
        <v>0</v>
      </c>
      <c r="N70" s="223"/>
      <c r="IU70" s="275"/>
    </row>
    <row r="71" spans="1:255" ht="12.75">
      <c r="A71" s="223"/>
      <c r="B71" s="439"/>
      <c r="C71" s="440"/>
      <c r="D71" s="412"/>
      <c r="E71" s="412"/>
      <c r="F71" s="412"/>
      <c r="G71" s="412"/>
      <c r="H71" s="412"/>
      <c r="I71" s="412"/>
      <c r="J71" s="412"/>
      <c r="K71" s="412"/>
      <c r="L71" s="412"/>
      <c r="M71" s="429"/>
      <c r="N71" s="223"/>
      <c r="IU71" s="275"/>
    </row>
    <row r="72" spans="1:255" ht="12.75">
      <c r="A72" s="223"/>
      <c r="B72" s="129" t="s">
        <v>168</v>
      </c>
      <c r="C72" s="128"/>
      <c r="D72" s="27">
        <f>D58-D70</f>
        <v>0</v>
      </c>
      <c r="E72" s="27">
        <f aca="true" t="shared" si="23" ref="E72:L72">E58-E70</f>
        <v>0</v>
      </c>
      <c r="F72" s="27">
        <f t="shared" si="23"/>
        <v>0</v>
      </c>
      <c r="G72" s="27">
        <f t="shared" si="23"/>
        <v>0</v>
      </c>
      <c r="H72" s="27">
        <f t="shared" si="23"/>
        <v>0</v>
      </c>
      <c r="I72" s="27">
        <f t="shared" si="23"/>
        <v>0</v>
      </c>
      <c r="J72" s="27">
        <f t="shared" si="23"/>
        <v>0</v>
      </c>
      <c r="K72" s="27">
        <f t="shared" si="23"/>
        <v>0</v>
      </c>
      <c r="L72" s="27">
        <f t="shared" si="23"/>
        <v>0</v>
      </c>
      <c r="M72" s="427">
        <f t="shared" si="16"/>
        <v>0</v>
      </c>
      <c r="N72" s="223"/>
      <c r="IU72" s="275"/>
    </row>
    <row r="73" spans="1:255" ht="12.75">
      <c r="A73" s="223"/>
      <c r="B73" s="223"/>
      <c r="C73" s="223"/>
      <c r="D73" s="223"/>
      <c r="E73" s="223"/>
      <c r="F73" s="223"/>
      <c r="G73" s="223"/>
      <c r="H73" s="223"/>
      <c r="I73" s="223"/>
      <c r="J73" s="223"/>
      <c r="K73" s="223"/>
      <c r="L73" s="441" t="s">
        <v>167</v>
      </c>
      <c r="M73" s="442">
        <f>ROUND(M72,0)</f>
        <v>0</v>
      </c>
      <c r="N73" s="223"/>
      <c r="IU73" s="275"/>
    </row>
    <row r="74" spans="1:255" ht="12.75">
      <c r="A74" s="223"/>
      <c r="B74" s="223"/>
      <c r="C74" s="223"/>
      <c r="D74" s="223"/>
      <c r="E74" s="223"/>
      <c r="F74" s="223"/>
      <c r="G74" s="223"/>
      <c r="H74" s="223"/>
      <c r="I74" s="223"/>
      <c r="J74" s="223"/>
      <c r="K74" s="223"/>
      <c r="L74" s="223"/>
      <c r="M74" s="223"/>
      <c r="N74" s="223"/>
      <c r="IU74" s="275"/>
    </row>
    <row r="75" spans="1:255" ht="12.75">
      <c r="A75" s="223"/>
      <c r="B75" s="223"/>
      <c r="C75" s="223"/>
      <c r="D75" s="223"/>
      <c r="E75" s="223"/>
      <c r="F75" s="223"/>
      <c r="G75" s="223"/>
      <c r="H75" s="223"/>
      <c r="I75" s="223"/>
      <c r="J75" s="223"/>
      <c r="K75" s="223"/>
      <c r="L75" s="223"/>
      <c r="M75" s="223"/>
      <c r="N75" s="223"/>
      <c r="IU75" s="275"/>
    </row>
    <row r="76" spans="2:14" ht="12.75" hidden="1">
      <c r="B76" s="223"/>
      <c r="C76" s="223"/>
      <c r="D76" s="223"/>
      <c r="E76" s="223"/>
      <c r="F76" s="223"/>
      <c r="G76" s="223"/>
      <c r="H76" s="223"/>
      <c r="I76" s="223"/>
      <c r="J76" s="223"/>
      <c r="K76" s="223"/>
      <c r="L76" s="223"/>
      <c r="M76" s="223"/>
      <c r="N76" s="223"/>
    </row>
    <row r="77" spans="2:14" ht="12.75" hidden="1">
      <c r="B77" s="223"/>
      <c r="C77" s="223"/>
      <c r="D77" s="223"/>
      <c r="E77" s="223"/>
      <c r="F77" s="223"/>
      <c r="G77" s="223"/>
      <c r="H77" s="223"/>
      <c r="I77" s="223"/>
      <c r="J77" s="223"/>
      <c r="K77" s="223"/>
      <c r="L77" s="223"/>
      <c r="M77" s="223"/>
      <c r="N77" s="223"/>
    </row>
    <row r="78" spans="2:14" ht="12.75" hidden="1">
      <c r="B78" s="223"/>
      <c r="C78" s="223"/>
      <c r="D78" s="223"/>
      <c r="E78" s="223"/>
      <c r="F78" s="223"/>
      <c r="G78" s="223"/>
      <c r="H78" s="223"/>
      <c r="I78" s="223"/>
      <c r="J78" s="223"/>
      <c r="K78" s="223"/>
      <c r="L78" s="223"/>
      <c r="M78" s="223"/>
      <c r="N78" s="223"/>
    </row>
    <row r="79" spans="2:14" ht="12.75" hidden="1">
      <c r="B79" s="223"/>
      <c r="C79" s="223"/>
      <c r="D79" s="223"/>
      <c r="E79" s="223"/>
      <c r="F79" s="223"/>
      <c r="G79" s="223"/>
      <c r="H79" s="223"/>
      <c r="I79" s="223"/>
      <c r="J79" s="223"/>
      <c r="K79" s="223"/>
      <c r="L79" s="223"/>
      <c r="M79" s="223"/>
      <c r="N79" s="223"/>
    </row>
    <row r="80" spans="2:14" ht="12.75" hidden="1">
      <c r="B80" s="223"/>
      <c r="C80" s="223"/>
      <c r="D80" s="223"/>
      <c r="E80" s="223"/>
      <c r="F80" s="223"/>
      <c r="G80" s="223"/>
      <c r="H80" s="223"/>
      <c r="I80" s="223"/>
      <c r="J80" s="223"/>
      <c r="K80" s="223"/>
      <c r="L80" s="223"/>
      <c r="M80" s="223"/>
      <c r="N80" s="223"/>
    </row>
    <row r="81" spans="2:14" ht="12.75" hidden="1">
      <c r="B81" s="223"/>
      <c r="C81" s="223"/>
      <c r="D81" s="223"/>
      <c r="E81" s="223"/>
      <c r="F81" s="223"/>
      <c r="G81" s="223"/>
      <c r="H81" s="223"/>
      <c r="I81" s="223"/>
      <c r="J81" s="223"/>
      <c r="K81" s="223"/>
      <c r="L81" s="223"/>
      <c r="M81" s="223"/>
      <c r="N81" s="223"/>
    </row>
    <row r="82" spans="2:14" ht="12.75" hidden="1">
      <c r="B82" s="223"/>
      <c r="C82" s="223"/>
      <c r="D82" s="223"/>
      <c r="E82" s="223"/>
      <c r="F82" s="223"/>
      <c r="G82" s="223"/>
      <c r="H82" s="223"/>
      <c r="I82" s="223"/>
      <c r="J82" s="223"/>
      <c r="K82" s="223"/>
      <c r="L82" s="223"/>
      <c r="M82" s="223"/>
      <c r="N82" s="223"/>
    </row>
    <row r="83" spans="2:14" ht="12.75" hidden="1">
      <c r="B83" s="223"/>
      <c r="C83" s="223"/>
      <c r="D83" s="223"/>
      <c r="E83" s="223"/>
      <c r="F83" s="223"/>
      <c r="G83" s="223"/>
      <c r="H83" s="223"/>
      <c r="I83" s="223"/>
      <c r="J83" s="223"/>
      <c r="K83" s="223"/>
      <c r="L83" s="223"/>
      <c r="M83" s="223"/>
      <c r="N83" s="223"/>
    </row>
    <row r="84" spans="2:14" ht="12.75" hidden="1">
      <c r="B84" s="223"/>
      <c r="C84" s="223"/>
      <c r="D84" s="223"/>
      <c r="E84" s="223"/>
      <c r="F84" s="223"/>
      <c r="G84" s="223"/>
      <c r="H84" s="223"/>
      <c r="I84" s="223"/>
      <c r="J84" s="223"/>
      <c r="K84" s="223"/>
      <c r="L84" s="223"/>
      <c r="M84" s="223"/>
      <c r="N84" s="223"/>
    </row>
    <row r="85" spans="2:14" ht="12.75" hidden="1">
      <c r="B85" s="223"/>
      <c r="C85" s="223"/>
      <c r="D85" s="223"/>
      <c r="E85" s="223"/>
      <c r="F85" s="223"/>
      <c r="G85" s="223"/>
      <c r="H85" s="223"/>
      <c r="I85" s="223"/>
      <c r="J85" s="223"/>
      <c r="K85" s="223"/>
      <c r="L85" s="223"/>
      <c r="M85" s="223"/>
      <c r="N85" s="223"/>
    </row>
    <row r="86" spans="2:14" ht="12.75" hidden="1">
      <c r="B86" s="223"/>
      <c r="C86" s="223"/>
      <c r="D86" s="223"/>
      <c r="E86" s="223"/>
      <c r="F86" s="223"/>
      <c r="G86" s="223"/>
      <c r="H86" s="223"/>
      <c r="I86" s="223"/>
      <c r="J86" s="223"/>
      <c r="K86" s="223"/>
      <c r="L86" s="223"/>
      <c r="M86" s="223"/>
      <c r="N86" s="223"/>
    </row>
    <row r="87" spans="2:14" ht="12.75" hidden="1">
      <c r="B87" s="223"/>
      <c r="C87" s="223"/>
      <c r="D87" s="223"/>
      <c r="E87" s="223"/>
      <c r="F87" s="223"/>
      <c r="G87" s="223"/>
      <c r="H87" s="223"/>
      <c r="I87" s="223"/>
      <c r="J87" s="223"/>
      <c r="K87" s="223"/>
      <c r="L87" s="223"/>
      <c r="M87" s="223"/>
      <c r="N87" s="223"/>
    </row>
    <row r="88" spans="2:14" ht="12.75" hidden="1">
      <c r="B88" s="223"/>
      <c r="C88" s="223"/>
      <c r="D88" s="223"/>
      <c r="E88" s="223"/>
      <c r="F88" s="223"/>
      <c r="G88" s="223"/>
      <c r="H88" s="223"/>
      <c r="I88" s="223"/>
      <c r="J88" s="223"/>
      <c r="K88" s="223"/>
      <c r="L88" s="223"/>
      <c r="M88" s="223"/>
      <c r="N88" s="223"/>
    </row>
    <row r="89" spans="2:14" ht="12.75" hidden="1">
      <c r="B89" s="223"/>
      <c r="C89" s="223"/>
      <c r="D89" s="223"/>
      <c r="E89" s="223"/>
      <c r="F89" s="223"/>
      <c r="G89" s="223"/>
      <c r="H89" s="223"/>
      <c r="I89" s="223"/>
      <c r="J89" s="223"/>
      <c r="K89" s="223"/>
      <c r="L89" s="223"/>
      <c r="M89" s="223"/>
      <c r="N89" s="223"/>
    </row>
    <row r="90" spans="2:14" ht="12.75" hidden="1">
      <c r="B90" s="223"/>
      <c r="C90" s="223"/>
      <c r="D90" s="223"/>
      <c r="E90" s="223"/>
      <c r="F90" s="223"/>
      <c r="G90" s="223"/>
      <c r="H90" s="223"/>
      <c r="I90" s="223"/>
      <c r="J90" s="223"/>
      <c r="K90" s="223"/>
      <c r="L90" s="223"/>
      <c r="M90" s="223"/>
      <c r="N90" s="223"/>
    </row>
    <row r="91" spans="2:14" ht="12.75" hidden="1">
      <c r="B91" s="223"/>
      <c r="C91" s="223"/>
      <c r="D91" s="223"/>
      <c r="E91" s="223"/>
      <c r="F91" s="223"/>
      <c r="G91" s="223"/>
      <c r="H91" s="223"/>
      <c r="I91" s="223"/>
      <c r="J91" s="223"/>
      <c r="K91" s="223"/>
      <c r="L91" s="223"/>
      <c r="M91" s="223"/>
      <c r="N91" s="223"/>
    </row>
    <row r="92" spans="2:14" ht="12.75" hidden="1">
      <c r="B92" s="223"/>
      <c r="C92" s="223"/>
      <c r="D92" s="223"/>
      <c r="E92" s="223"/>
      <c r="F92" s="223"/>
      <c r="G92" s="223"/>
      <c r="H92" s="223"/>
      <c r="I92" s="223"/>
      <c r="J92" s="223"/>
      <c r="K92" s="223"/>
      <c r="L92" s="223"/>
      <c r="M92" s="223"/>
      <c r="N92" s="223"/>
    </row>
    <row r="93" spans="2:14" ht="12.75" hidden="1">
      <c r="B93" s="223"/>
      <c r="C93" s="223"/>
      <c r="D93" s="223"/>
      <c r="E93" s="223"/>
      <c r="F93" s="223"/>
      <c r="G93" s="223"/>
      <c r="H93" s="223"/>
      <c r="I93" s="223"/>
      <c r="J93" s="223"/>
      <c r="K93" s="223"/>
      <c r="L93" s="223"/>
      <c r="M93" s="223"/>
      <c r="N93" s="223"/>
    </row>
    <row r="94" spans="2:14" ht="12.75" hidden="1">
      <c r="B94" s="223"/>
      <c r="C94" s="223"/>
      <c r="D94" s="223"/>
      <c r="E94" s="223"/>
      <c r="F94" s="223"/>
      <c r="G94" s="223"/>
      <c r="H94" s="223"/>
      <c r="I94" s="223"/>
      <c r="J94" s="223"/>
      <c r="K94" s="223"/>
      <c r="L94" s="223"/>
      <c r="M94" s="223"/>
      <c r="N94" s="223"/>
    </row>
    <row r="95" spans="2:14" ht="12.75" hidden="1">
      <c r="B95" s="223"/>
      <c r="C95" s="223"/>
      <c r="D95" s="223"/>
      <c r="E95" s="223"/>
      <c r="F95" s="223"/>
      <c r="G95" s="223"/>
      <c r="H95" s="223"/>
      <c r="I95" s="223"/>
      <c r="J95" s="223"/>
      <c r="K95" s="223"/>
      <c r="L95" s="223"/>
      <c r="M95" s="223"/>
      <c r="N95" s="223"/>
    </row>
    <row r="96" spans="2:14" ht="12.75" hidden="1">
      <c r="B96" s="223"/>
      <c r="C96" s="223"/>
      <c r="D96" s="223"/>
      <c r="E96" s="223"/>
      <c r="F96" s="223"/>
      <c r="G96" s="223"/>
      <c r="H96" s="223"/>
      <c r="I96" s="223"/>
      <c r="J96" s="223"/>
      <c r="K96" s="223"/>
      <c r="L96" s="223"/>
      <c r="M96" s="223"/>
      <c r="N96" s="223"/>
    </row>
    <row r="97" spans="2:14" ht="12.75" hidden="1">
      <c r="B97" s="223"/>
      <c r="C97" s="223"/>
      <c r="D97" s="223"/>
      <c r="E97" s="223"/>
      <c r="F97" s="223"/>
      <c r="G97" s="223"/>
      <c r="H97" s="223"/>
      <c r="I97" s="223"/>
      <c r="J97" s="223"/>
      <c r="K97" s="223"/>
      <c r="L97" s="223"/>
      <c r="M97" s="223"/>
      <c r="N97" s="223"/>
    </row>
    <row r="98" spans="2:14" ht="12.75" hidden="1">
      <c r="B98" s="223"/>
      <c r="C98" s="223"/>
      <c r="D98" s="223"/>
      <c r="E98" s="223"/>
      <c r="F98" s="223"/>
      <c r="G98" s="223"/>
      <c r="H98" s="223"/>
      <c r="I98" s="223"/>
      <c r="J98" s="223"/>
      <c r="K98" s="223"/>
      <c r="L98" s="223"/>
      <c r="M98" s="223"/>
      <c r="N98" s="223"/>
    </row>
    <row r="99" spans="2:14" ht="12.75" hidden="1">
      <c r="B99" s="223"/>
      <c r="C99" s="223"/>
      <c r="D99" s="223"/>
      <c r="E99" s="223"/>
      <c r="F99" s="223"/>
      <c r="G99" s="223"/>
      <c r="H99" s="223"/>
      <c r="I99" s="223"/>
      <c r="J99" s="223"/>
      <c r="K99" s="223"/>
      <c r="L99" s="223"/>
      <c r="M99" s="223"/>
      <c r="N99" s="223"/>
    </row>
    <row r="100" spans="2:14" ht="12.75" hidden="1">
      <c r="B100" s="223"/>
      <c r="C100" s="223"/>
      <c r="D100" s="223"/>
      <c r="E100" s="223"/>
      <c r="F100" s="223"/>
      <c r="G100" s="223"/>
      <c r="H100" s="223"/>
      <c r="I100" s="223"/>
      <c r="J100" s="223"/>
      <c r="K100" s="223"/>
      <c r="L100" s="223"/>
      <c r="M100" s="223"/>
      <c r="N100" s="223"/>
    </row>
    <row r="101" spans="2:14" ht="12.75" hidden="1">
      <c r="B101" s="223"/>
      <c r="C101" s="223"/>
      <c r="D101" s="223"/>
      <c r="E101" s="223"/>
      <c r="F101" s="223"/>
      <c r="G101" s="223"/>
      <c r="H101" s="223"/>
      <c r="I101" s="223"/>
      <c r="J101" s="223"/>
      <c r="K101" s="223"/>
      <c r="L101" s="223"/>
      <c r="M101" s="223"/>
      <c r="N101" s="223"/>
    </row>
    <row r="102" spans="2:14" ht="12.75" hidden="1">
      <c r="B102" s="223"/>
      <c r="C102" s="223"/>
      <c r="D102" s="223"/>
      <c r="E102" s="223"/>
      <c r="F102" s="223"/>
      <c r="G102" s="223"/>
      <c r="H102" s="223"/>
      <c r="I102" s="223"/>
      <c r="J102" s="223"/>
      <c r="K102" s="223"/>
      <c r="L102" s="223"/>
      <c r="M102" s="223"/>
      <c r="N102" s="223"/>
    </row>
    <row r="103" spans="2:14" ht="12.75" hidden="1">
      <c r="B103" s="223"/>
      <c r="C103" s="223"/>
      <c r="D103" s="223"/>
      <c r="E103" s="223"/>
      <c r="F103" s="223"/>
      <c r="G103" s="223"/>
      <c r="H103" s="223"/>
      <c r="I103" s="223"/>
      <c r="J103" s="223"/>
      <c r="K103" s="223"/>
      <c r="L103" s="223"/>
      <c r="M103" s="223"/>
      <c r="N103" s="223"/>
    </row>
    <row r="104" spans="2:14" ht="12.75" hidden="1">
      <c r="B104" s="223"/>
      <c r="C104" s="223"/>
      <c r="D104" s="223"/>
      <c r="E104" s="223"/>
      <c r="F104" s="223"/>
      <c r="G104" s="223"/>
      <c r="H104" s="223"/>
      <c r="I104" s="223"/>
      <c r="J104" s="223"/>
      <c r="K104" s="223"/>
      <c r="L104" s="223"/>
      <c r="M104" s="223"/>
      <c r="N104" s="223"/>
    </row>
    <row r="105" spans="1:14" ht="12.75">
      <c r="A105" s="223"/>
      <c r="B105" s="223"/>
      <c r="C105" s="223"/>
      <c r="D105" s="223"/>
      <c r="E105" s="223"/>
      <c r="F105" s="223"/>
      <c r="G105" s="223"/>
      <c r="H105" s="223"/>
      <c r="I105" s="223"/>
      <c r="J105" s="223"/>
      <c r="K105" s="223"/>
      <c r="L105" s="223"/>
      <c r="M105" s="223"/>
      <c r="N105" s="223"/>
    </row>
    <row r="106" ht="12.75" hidden="1"/>
    <row r="107" ht="12.75" hidden="1"/>
    <row r="108" ht="12.75" hidden="1"/>
    <row r="109" ht="12.75" hidden="1"/>
    <row r="110" ht="12.75" hidden="1"/>
  </sheetData>
  <sheetProtection password="C724" sheet="1" objects="1" scenarios="1"/>
  <mergeCells count="6">
    <mergeCell ref="D26:E26"/>
    <mergeCell ref="B19:C19"/>
    <mergeCell ref="B15:C15"/>
    <mergeCell ref="B16:C16"/>
    <mergeCell ref="B17:C17"/>
    <mergeCell ref="B18:C18"/>
  </mergeCells>
  <conditionalFormatting sqref="F31:L31">
    <cfRule type="cellIs" priority="1" dxfId="1" operator="equal" stopIfTrue="1">
      <formula>"nein"</formula>
    </cfRule>
  </conditionalFormatting>
  <printOptions horizontalCentered="1"/>
  <pageMargins left="0.3937007874015748" right="0.3937007874015748" top="0.984251968503937" bottom="0" header="0.3937007874015748" footer="0"/>
  <pageSetup blackAndWhite="1" fitToHeight="2" horizontalDpi="600" verticalDpi="600" orientation="landscape" paperSize="9" r:id="rId4"/>
  <headerFooter alignWithMargins="0">
    <oddHeader>&amp;L&amp;"Arial,Fett"&amp;8NUTZUNG OHNE GEWÄHR&amp;C&amp;"Arial,Fett"&amp;8&amp;F&amp;R&amp;"Arial,Fett"&amp;8http://www.ArbeitslosengeldII.de</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Tabelle7">
    <pageSetUpPr fitToPage="1"/>
  </sheetPr>
  <dimension ref="A1:P107"/>
  <sheetViews>
    <sheetView showGridLines="0" showRowColHeaders="0" workbookViewId="0" topLeftCell="A37">
      <selection activeCell="D6" sqref="D6"/>
    </sheetView>
  </sheetViews>
  <sheetFormatPr defaultColWidth="11.421875" defaultRowHeight="12.75"/>
  <cols>
    <col min="1" max="1" width="3.00390625" style="23" bestFit="1" customWidth="1"/>
    <col min="2" max="2" width="11.8515625" style="23" customWidth="1"/>
    <col min="3" max="5" width="11.421875" style="23" customWidth="1"/>
    <col min="6" max="9" width="10.7109375" style="23" customWidth="1"/>
    <col min="10" max="11" width="10.7109375" style="50" customWidth="1"/>
    <col min="12" max="14" width="11.421875" style="50" customWidth="1"/>
    <col min="15" max="16384" width="11.421875" style="23" customWidth="1"/>
  </cols>
  <sheetData>
    <row r="1" spans="1:16" s="489" customFormat="1" ht="15.75">
      <c r="A1" s="272"/>
      <c r="B1" s="365" t="s">
        <v>136</v>
      </c>
      <c r="C1" s="365"/>
      <c r="D1" s="365"/>
      <c r="E1" s="365"/>
      <c r="F1" s="365"/>
      <c r="G1" s="365"/>
      <c r="H1" s="365"/>
      <c r="I1" s="365"/>
      <c r="J1" s="272"/>
      <c r="K1" s="272"/>
      <c r="L1" s="272"/>
      <c r="M1" s="488"/>
      <c r="N1" s="488"/>
      <c r="O1" s="488"/>
      <c r="P1" s="488"/>
    </row>
    <row r="2" spans="1:16" ht="12.75">
      <c r="A2" s="223"/>
      <c r="B2" s="223"/>
      <c r="C2" s="223"/>
      <c r="D2" s="223"/>
      <c r="E2" s="223"/>
      <c r="F2" s="223"/>
      <c r="G2" s="223"/>
      <c r="H2" s="223"/>
      <c r="I2" s="223"/>
      <c r="J2" s="223"/>
      <c r="K2" s="223"/>
      <c r="L2" s="223"/>
      <c r="M2" s="22"/>
      <c r="N2" s="22"/>
      <c r="O2" s="22"/>
      <c r="P2" s="22"/>
    </row>
    <row r="3" spans="1:16" ht="12.75">
      <c r="A3" s="223"/>
      <c r="B3" s="560" t="s">
        <v>120</v>
      </c>
      <c r="C3" s="593"/>
      <c r="D3" s="593"/>
      <c r="E3" s="561"/>
      <c r="F3" s="443"/>
      <c r="G3" s="223"/>
      <c r="H3" s="223"/>
      <c r="I3" s="223"/>
      <c r="J3" s="223"/>
      <c r="K3" s="223"/>
      <c r="L3" s="223"/>
      <c r="M3" s="22"/>
      <c r="N3" s="22"/>
      <c r="O3" s="22"/>
      <c r="P3" s="22"/>
    </row>
    <row r="4" spans="1:16" ht="12.75">
      <c r="A4" s="223"/>
      <c r="B4" s="445"/>
      <c r="C4" s="7"/>
      <c r="D4" s="446" t="s">
        <v>397</v>
      </c>
      <c r="E4" s="447" t="s">
        <v>398</v>
      </c>
      <c r="F4" s="258"/>
      <c r="G4" s="223"/>
      <c r="H4" s="223"/>
      <c r="I4" s="223"/>
      <c r="J4" s="223"/>
      <c r="K4" s="223"/>
      <c r="L4" s="223"/>
      <c r="M4" s="22"/>
      <c r="N4" s="22"/>
      <c r="O4" s="22"/>
      <c r="P4" s="22"/>
    </row>
    <row r="5" spans="1:16" ht="12.75">
      <c r="A5" s="223"/>
      <c r="B5" s="445"/>
      <c r="C5" s="7"/>
      <c r="D5" s="446"/>
      <c r="E5" s="446"/>
      <c r="F5" s="444"/>
      <c r="G5" s="223"/>
      <c r="H5" s="223"/>
      <c r="I5" s="223"/>
      <c r="J5" s="223"/>
      <c r="K5" s="223"/>
      <c r="L5" s="223"/>
      <c r="M5" s="22"/>
      <c r="N5" s="22"/>
      <c r="O5" s="22"/>
      <c r="P5" s="22"/>
    </row>
    <row r="6" spans="1:16" ht="12.75">
      <c r="A6" s="223"/>
      <c r="B6" s="448" t="s">
        <v>412</v>
      </c>
      <c r="C6" s="449"/>
      <c r="D6" s="306">
        <v>345</v>
      </c>
      <c r="E6" s="306">
        <v>331</v>
      </c>
      <c r="F6" s="444"/>
      <c r="G6" s="223"/>
      <c r="H6" s="223"/>
      <c r="I6" s="223"/>
      <c r="J6" s="223"/>
      <c r="K6" s="223"/>
      <c r="L6" s="223"/>
      <c r="M6" s="22"/>
      <c r="N6" s="22"/>
      <c r="O6" s="22"/>
      <c r="P6" s="22"/>
    </row>
    <row r="7" spans="1:16" ht="12.75">
      <c r="A7" s="223"/>
      <c r="B7" s="450"/>
      <c r="C7" s="7"/>
      <c r="D7" s="17"/>
      <c r="E7" s="451"/>
      <c r="F7" s="444"/>
      <c r="G7" s="223"/>
      <c r="H7" s="223"/>
      <c r="I7" s="223"/>
      <c r="J7" s="223"/>
      <c r="K7" s="223"/>
      <c r="L7" s="223"/>
      <c r="M7" s="22"/>
      <c r="N7" s="22"/>
      <c r="O7" s="22"/>
      <c r="P7" s="22"/>
    </row>
    <row r="8" spans="1:16" ht="12.75">
      <c r="A8" s="223"/>
      <c r="B8" s="452" t="s">
        <v>411</v>
      </c>
      <c r="C8" s="453">
        <v>0.9</v>
      </c>
      <c r="D8" s="454">
        <f>D6*C8</f>
        <v>310.5</v>
      </c>
      <c r="E8" s="454">
        <f>E6*C8</f>
        <v>297.90000000000003</v>
      </c>
      <c r="F8" s="444"/>
      <c r="G8" s="223"/>
      <c r="H8" s="223"/>
      <c r="I8" s="223"/>
      <c r="J8" s="223"/>
      <c r="K8" s="223"/>
      <c r="L8" s="223"/>
      <c r="M8" s="22"/>
      <c r="N8" s="22"/>
      <c r="O8" s="22"/>
      <c r="P8" s="22"/>
    </row>
    <row r="9" spans="1:16" ht="12.75">
      <c r="A9" s="223"/>
      <c r="B9" s="455" t="s">
        <v>413</v>
      </c>
      <c r="C9" s="456" t="s">
        <v>399</v>
      </c>
      <c r="D9" s="454">
        <f>ROUND(D8,0)</f>
        <v>311</v>
      </c>
      <c r="E9" s="454">
        <f>ROUND(E8,0)</f>
        <v>298</v>
      </c>
      <c r="F9" s="444"/>
      <c r="G9" s="223"/>
      <c r="H9" s="223"/>
      <c r="I9" s="223"/>
      <c r="J9" s="223"/>
      <c r="K9" s="223"/>
      <c r="L9" s="223"/>
      <c r="M9" s="22"/>
      <c r="N9" s="22"/>
      <c r="O9" s="22"/>
      <c r="P9" s="22"/>
    </row>
    <row r="10" spans="1:16" ht="12.75">
      <c r="A10" s="223"/>
      <c r="B10" s="457"/>
      <c r="C10" s="7"/>
      <c r="D10" s="458"/>
      <c r="E10" s="459"/>
      <c r="F10" s="444"/>
      <c r="G10" s="223"/>
      <c r="H10" s="223"/>
      <c r="I10" s="223"/>
      <c r="J10" s="223"/>
      <c r="K10" s="223"/>
      <c r="L10" s="223"/>
      <c r="M10" s="22"/>
      <c r="N10" s="22"/>
      <c r="O10" s="22"/>
      <c r="P10" s="22"/>
    </row>
    <row r="11" spans="1:16" ht="12.75">
      <c r="A11" s="223"/>
      <c r="B11" s="450" t="s">
        <v>255</v>
      </c>
      <c r="C11" s="7"/>
      <c r="D11" s="458"/>
      <c r="E11" s="459"/>
      <c r="F11" s="444"/>
      <c r="G11" s="223"/>
      <c r="H11" s="223"/>
      <c r="I11" s="223"/>
      <c r="J11" s="223"/>
      <c r="K11" s="223"/>
      <c r="L11" s="223"/>
      <c r="M11" s="22"/>
      <c r="N11" s="22"/>
      <c r="O11" s="22"/>
      <c r="P11" s="22"/>
    </row>
    <row r="12" spans="1:16" ht="12.75">
      <c r="A12" s="223"/>
      <c r="B12" s="460" t="s">
        <v>400</v>
      </c>
      <c r="C12" s="453">
        <v>0.6</v>
      </c>
      <c r="D12" s="454">
        <f>D6*C12</f>
        <v>207</v>
      </c>
      <c r="E12" s="454">
        <f>E6*C12</f>
        <v>198.6</v>
      </c>
      <c r="F12" s="444"/>
      <c r="G12" s="223"/>
      <c r="H12" s="223"/>
      <c r="I12" s="223"/>
      <c r="J12" s="223"/>
      <c r="K12" s="223"/>
      <c r="L12" s="223"/>
      <c r="M12" s="22"/>
      <c r="N12" s="22"/>
      <c r="O12" s="22"/>
      <c r="P12" s="22"/>
    </row>
    <row r="13" spans="1:16" ht="12.75">
      <c r="A13" s="223"/>
      <c r="B13" s="460"/>
      <c r="C13" s="456" t="s">
        <v>399</v>
      </c>
      <c r="D13" s="454">
        <f>ROUND(D12,0)</f>
        <v>207</v>
      </c>
      <c r="E13" s="454">
        <f>ROUND(E12,0)</f>
        <v>199</v>
      </c>
      <c r="F13" s="444"/>
      <c r="G13" s="223"/>
      <c r="H13" s="223"/>
      <c r="I13" s="223"/>
      <c r="J13" s="223"/>
      <c r="K13" s="223"/>
      <c r="L13" s="223"/>
      <c r="M13" s="22"/>
      <c r="N13" s="22"/>
      <c r="O13" s="22"/>
      <c r="P13" s="22"/>
    </row>
    <row r="14" spans="1:16" ht="12.75">
      <c r="A14" s="223"/>
      <c r="B14" s="460" t="s">
        <v>401</v>
      </c>
      <c r="C14" s="453">
        <v>0.8</v>
      </c>
      <c r="D14" s="454">
        <f>D6*C14</f>
        <v>276</v>
      </c>
      <c r="E14" s="454">
        <f>E6*C14</f>
        <v>264.8</v>
      </c>
      <c r="F14" s="444"/>
      <c r="G14" s="223"/>
      <c r="H14" s="223"/>
      <c r="I14" s="223"/>
      <c r="J14" s="223"/>
      <c r="K14" s="223"/>
      <c r="L14" s="223"/>
      <c r="M14" s="22"/>
      <c r="N14" s="22"/>
      <c r="O14" s="22"/>
      <c r="P14" s="22"/>
    </row>
    <row r="15" spans="1:16" ht="12.75">
      <c r="A15" s="223"/>
      <c r="B15" s="449"/>
      <c r="C15" s="456" t="s">
        <v>399</v>
      </c>
      <c r="D15" s="454">
        <f>ROUND(D14,0)</f>
        <v>276</v>
      </c>
      <c r="E15" s="454">
        <f>ROUND(E14,0)</f>
        <v>265</v>
      </c>
      <c r="F15" s="444"/>
      <c r="G15" s="223"/>
      <c r="H15" s="223"/>
      <c r="I15" s="223"/>
      <c r="J15" s="223"/>
      <c r="K15" s="223"/>
      <c r="L15" s="223"/>
      <c r="M15" s="22"/>
      <c r="N15" s="22"/>
      <c r="O15" s="22"/>
      <c r="P15" s="22"/>
    </row>
    <row r="16" spans="1:16" ht="12.75">
      <c r="A16" s="223"/>
      <c r="B16" s="223"/>
      <c r="C16" s="223"/>
      <c r="D16" s="223"/>
      <c r="E16" s="223"/>
      <c r="F16" s="223"/>
      <c r="G16" s="223"/>
      <c r="H16" s="223"/>
      <c r="I16" s="223"/>
      <c r="J16" s="223"/>
      <c r="K16" s="223"/>
      <c r="L16" s="223"/>
      <c r="M16" s="22"/>
      <c r="N16" s="22"/>
      <c r="O16" s="22"/>
      <c r="P16" s="22"/>
    </row>
    <row r="17" spans="1:16" ht="12.75">
      <c r="A17" s="474"/>
      <c r="B17" s="562" t="s">
        <v>10</v>
      </c>
      <c r="C17" s="563"/>
      <c r="D17" s="563"/>
      <c r="E17" s="563"/>
      <c r="F17" s="563"/>
      <c r="G17" s="587"/>
      <c r="H17" s="472" t="s">
        <v>11</v>
      </c>
      <c r="I17" s="223"/>
      <c r="J17" s="223"/>
      <c r="K17" s="223"/>
      <c r="L17" s="223"/>
      <c r="M17" s="22"/>
      <c r="N17" s="22"/>
      <c r="O17" s="22"/>
      <c r="P17" s="22"/>
    </row>
    <row r="18" spans="1:16" ht="12.75">
      <c r="A18" s="300">
        <v>1</v>
      </c>
      <c r="B18" s="461" t="s">
        <v>135</v>
      </c>
      <c r="C18" s="462"/>
      <c r="D18" s="462"/>
      <c r="E18" s="462"/>
      <c r="F18" s="462"/>
      <c r="G18" s="463"/>
      <c r="H18" s="473">
        <v>0</v>
      </c>
      <c r="I18" s="223"/>
      <c r="J18" s="223"/>
      <c r="K18" s="223"/>
      <c r="L18" s="223"/>
      <c r="M18" s="22"/>
      <c r="N18" s="22"/>
      <c r="O18" s="22"/>
      <c r="P18" s="22"/>
    </row>
    <row r="19" spans="1:16" ht="12.75">
      <c r="A19" s="300">
        <v>2</v>
      </c>
      <c r="B19" s="464" t="s">
        <v>43</v>
      </c>
      <c r="C19" s="465"/>
      <c r="D19" s="465"/>
      <c r="E19" s="465"/>
      <c r="F19" s="462"/>
      <c r="G19" s="463"/>
      <c r="H19" s="1">
        <v>35.79</v>
      </c>
      <c r="I19" s="223"/>
      <c r="J19" s="223"/>
      <c r="K19" s="223"/>
      <c r="L19" s="223"/>
      <c r="M19" s="22"/>
      <c r="N19" s="22"/>
      <c r="O19" s="22"/>
      <c r="P19" s="22"/>
    </row>
    <row r="20" spans="1:16" ht="12.75">
      <c r="A20" s="300">
        <v>3</v>
      </c>
      <c r="B20" s="466" t="s">
        <v>44</v>
      </c>
      <c r="C20" s="467"/>
      <c r="D20" s="467"/>
      <c r="E20" s="467"/>
      <c r="F20" s="462"/>
      <c r="G20" s="463"/>
      <c r="H20" s="1">
        <v>30.68</v>
      </c>
      <c r="I20" s="223"/>
      <c r="J20" s="223"/>
      <c r="K20" s="223"/>
      <c r="L20" s="223"/>
      <c r="M20" s="22"/>
      <c r="N20" s="22"/>
      <c r="O20" s="22"/>
      <c r="P20" s="22"/>
    </row>
    <row r="21" spans="1:16" ht="12.75">
      <c r="A21" s="300">
        <v>4</v>
      </c>
      <c r="B21" s="466" t="s">
        <v>45</v>
      </c>
      <c r="C21" s="467"/>
      <c r="D21" s="467"/>
      <c r="E21" s="467"/>
      <c r="F21" s="462"/>
      <c r="G21" s="463"/>
      <c r="H21" s="1">
        <v>30.68</v>
      </c>
      <c r="I21" s="223"/>
      <c r="J21" s="223"/>
      <c r="K21" s="223"/>
      <c r="L21" s="223"/>
      <c r="M21" s="22"/>
      <c r="N21" s="22"/>
      <c r="O21" s="22"/>
      <c r="P21" s="22"/>
    </row>
    <row r="22" spans="1:16" ht="12.75">
      <c r="A22" s="300">
        <v>5</v>
      </c>
      <c r="B22" s="464" t="s">
        <v>46</v>
      </c>
      <c r="C22" s="465"/>
      <c r="D22" s="465"/>
      <c r="E22" s="465"/>
      <c r="F22" s="462"/>
      <c r="G22" s="463"/>
      <c r="H22" s="1">
        <v>30.68</v>
      </c>
      <c r="I22" s="223"/>
      <c r="J22" s="223"/>
      <c r="K22" s="223"/>
      <c r="L22" s="223"/>
      <c r="M22" s="22"/>
      <c r="N22" s="22"/>
      <c r="O22" s="22"/>
      <c r="P22" s="22"/>
    </row>
    <row r="23" spans="1:16" ht="12.75">
      <c r="A23" s="300">
        <v>6</v>
      </c>
      <c r="B23" s="464" t="s">
        <v>47</v>
      </c>
      <c r="C23" s="465"/>
      <c r="D23" s="465"/>
      <c r="E23" s="465"/>
      <c r="F23" s="462"/>
      <c r="G23" s="463"/>
      <c r="H23" s="1">
        <v>30.68</v>
      </c>
      <c r="I23" s="223"/>
      <c r="J23" s="223"/>
      <c r="K23" s="223"/>
      <c r="L23" s="223"/>
      <c r="M23" s="22"/>
      <c r="N23" s="22"/>
      <c r="O23" s="22"/>
      <c r="P23" s="22"/>
    </row>
    <row r="24" spans="1:16" ht="12.75">
      <c r="A24" s="300">
        <v>7</v>
      </c>
      <c r="B24" s="466" t="s">
        <v>48</v>
      </c>
      <c r="C24" s="467"/>
      <c r="D24" s="467"/>
      <c r="E24" s="467"/>
      <c r="F24" s="462"/>
      <c r="G24" s="463"/>
      <c r="H24" s="1">
        <v>61.36</v>
      </c>
      <c r="I24" s="223"/>
      <c r="J24" s="223"/>
      <c r="K24" s="223"/>
      <c r="L24" s="223"/>
      <c r="M24" s="22"/>
      <c r="N24" s="22"/>
      <c r="O24" s="22"/>
      <c r="P24" s="22"/>
    </row>
    <row r="25" spans="1:16" ht="12.75">
      <c r="A25" s="300">
        <v>8</v>
      </c>
      <c r="B25" s="466" t="s">
        <v>49</v>
      </c>
      <c r="C25" s="467"/>
      <c r="D25" s="467"/>
      <c r="E25" s="467"/>
      <c r="F25" s="462"/>
      <c r="G25" s="463"/>
      <c r="H25" s="1">
        <v>25.56</v>
      </c>
      <c r="I25" s="223"/>
      <c r="J25" s="223"/>
      <c r="K25" s="223"/>
      <c r="L25" s="223"/>
      <c r="M25" s="22"/>
      <c r="N25" s="22"/>
      <c r="O25" s="22"/>
      <c r="P25" s="22"/>
    </row>
    <row r="26" spans="1:16" ht="12.75">
      <c r="A26" s="300">
        <v>9</v>
      </c>
      <c r="B26" s="466" t="s">
        <v>50</v>
      </c>
      <c r="C26" s="465"/>
      <c r="D26" s="465"/>
      <c r="E26" s="465"/>
      <c r="F26" s="462"/>
      <c r="G26" s="463"/>
      <c r="H26" s="1">
        <v>25.56</v>
      </c>
      <c r="I26" s="223"/>
      <c r="J26" s="223"/>
      <c r="K26" s="223"/>
      <c r="L26" s="223"/>
      <c r="M26" s="22"/>
      <c r="N26" s="22"/>
      <c r="O26" s="22"/>
      <c r="P26" s="22"/>
    </row>
    <row r="27" spans="1:16" ht="12.75">
      <c r="A27" s="300">
        <v>10</v>
      </c>
      <c r="B27" s="464" t="s">
        <v>51</v>
      </c>
      <c r="C27" s="465"/>
      <c r="D27" s="465"/>
      <c r="E27" s="465"/>
      <c r="F27" s="462"/>
      <c r="G27" s="463"/>
      <c r="H27" s="1">
        <v>66.47</v>
      </c>
      <c r="I27" s="223"/>
      <c r="J27" s="223"/>
      <c r="K27" s="223"/>
      <c r="L27" s="223"/>
      <c r="M27" s="22"/>
      <c r="N27" s="22"/>
      <c r="O27" s="22"/>
      <c r="P27" s="22"/>
    </row>
    <row r="28" spans="1:16" ht="12.75">
      <c r="A28" s="300">
        <v>11</v>
      </c>
      <c r="B28" s="464" t="s">
        <v>52</v>
      </c>
      <c r="C28" s="465"/>
      <c r="D28" s="465"/>
      <c r="E28" s="465"/>
      <c r="F28" s="462"/>
      <c r="G28" s="463"/>
      <c r="H28" s="1">
        <v>51.13</v>
      </c>
      <c r="I28" s="223"/>
      <c r="J28" s="223"/>
      <c r="K28" s="223"/>
      <c r="L28" s="223"/>
      <c r="M28" s="22"/>
      <c r="N28" s="22"/>
      <c r="O28" s="22"/>
      <c r="P28" s="22"/>
    </row>
    <row r="29" spans="1:16" ht="12.75">
      <c r="A29" s="300">
        <v>12</v>
      </c>
      <c r="B29" s="466" t="s">
        <v>53</v>
      </c>
      <c r="C29" s="468"/>
      <c r="D29" s="468"/>
      <c r="E29" s="468"/>
      <c r="F29" s="462"/>
      <c r="G29" s="463"/>
      <c r="H29" s="1">
        <v>51.13</v>
      </c>
      <c r="I29" s="223"/>
      <c r="J29" s="223"/>
      <c r="K29" s="223"/>
      <c r="L29" s="223"/>
      <c r="M29" s="22"/>
      <c r="N29" s="22"/>
      <c r="O29" s="22"/>
      <c r="P29" s="22"/>
    </row>
    <row r="30" spans="1:16" ht="12.75">
      <c r="A30" s="300">
        <v>13</v>
      </c>
      <c r="B30" s="466" t="s">
        <v>54</v>
      </c>
      <c r="C30" s="468"/>
      <c r="D30" s="468"/>
      <c r="E30" s="468"/>
      <c r="F30" s="462"/>
      <c r="G30" s="463"/>
      <c r="H30" s="1">
        <v>25.56</v>
      </c>
      <c r="I30" s="223"/>
      <c r="J30" s="223"/>
      <c r="K30" s="223"/>
      <c r="L30" s="223"/>
      <c r="M30" s="22"/>
      <c r="N30" s="22"/>
      <c r="O30" s="22"/>
      <c r="P30" s="22"/>
    </row>
    <row r="31" spans="1:16" ht="12.75">
      <c r="A31" s="300">
        <v>14</v>
      </c>
      <c r="B31" s="464" t="s">
        <v>55</v>
      </c>
      <c r="C31" s="465"/>
      <c r="D31" s="465"/>
      <c r="E31" s="465"/>
      <c r="F31" s="462"/>
      <c r="G31" s="463"/>
      <c r="H31" s="1">
        <v>25.56</v>
      </c>
      <c r="I31" s="223"/>
      <c r="J31" s="223"/>
      <c r="K31" s="223"/>
      <c r="L31" s="223"/>
      <c r="M31" s="22"/>
      <c r="N31" s="22"/>
      <c r="O31" s="22"/>
      <c r="P31" s="22"/>
    </row>
    <row r="32" spans="1:16" ht="12.75">
      <c r="A32" s="300">
        <v>15</v>
      </c>
      <c r="B32" s="464" t="s">
        <v>56</v>
      </c>
      <c r="C32" s="465"/>
      <c r="D32" s="465"/>
      <c r="E32" s="465"/>
      <c r="F32" s="462"/>
      <c r="G32" s="463"/>
      <c r="H32" s="1">
        <v>25.56</v>
      </c>
      <c r="I32" s="223"/>
      <c r="J32" s="223"/>
      <c r="K32" s="223"/>
      <c r="L32" s="223"/>
      <c r="M32" s="22"/>
      <c r="N32" s="22"/>
      <c r="O32" s="22"/>
      <c r="P32" s="22"/>
    </row>
    <row r="33" spans="1:16" ht="12.75">
      <c r="A33" s="300">
        <v>16</v>
      </c>
      <c r="B33" s="464" t="s">
        <v>57</v>
      </c>
      <c r="C33" s="465"/>
      <c r="D33" s="465"/>
      <c r="E33" s="465"/>
      <c r="F33" s="462"/>
      <c r="G33" s="463"/>
      <c r="H33" s="1">
        <v>25.56</v>
      </c>
      <c r="I33" s="223"/>
      <c r="J33" s="223"/>
      <c r="K33" s="223"/>
      <c r="L33" s="223"/>
      <c r="M33" s="22"/>
      <c r="N33" s="22"/>
      <c r="O33" s="22"/>
      <c r="P33" s="22"/>
    </row>
    <row r="34" spans="1:16" ht="12.75">
      <c r="A34" s="300">
        <v>17</v>
      </c>
      <c r="B34" s="464" t="s">
        <v>12</v>
      </c>
      <c r="C34" s="465"/>
      <c r="D34" s="465"/>
      <c r="E34" s="465"/>
      <c r="F34" s="462"/>
      <c r="G34" s="463"/>
      <c r="H34" s="1">
        <v>25.56</v>
      </c>
      <c r="I34" s="223"/>
      <c r="J34" s="223"/>
      <c r="K34" s="223"/>
      <c r="L34" s="223"/>
      <c r="M34" s="22"/>
      <c r="N34" s="22"/>
      <c r="O34" s="22"/>
      <c r="P34" s="22"/>
    </row>
    <row r="35" spans="1:16" ht="12.75">
      <c r="A35" s="300">
        <v>18</v>
      </c>
      <c r="B35" s="464" t="s">
        <v>58</v>
      </c>
      <c r="C35" s="465"/>
      <c r="D35" s="465"/>
      <c r="E35" s="465"/>
      <c r="F35" s="462"/>
      <c r="G35" s="463"/>
      <c r="H35" s="1">
        <v>25.56</v>
      </c>
      <c r="I35" s="223"/>
      <c r="J35" s="223"/>
      <c r="K35" s="223"/>
      <c r="L35" s="223"/>
      <c r="M35" s="22"/>
      <c r="N35" s="22"/>
      <c r="O35" s="22"/>
      <c r="P35" s="22"/>
    </row>
    <row r="36" spans="1:16" ht="12.75">
      <c r="A36" s="300">
        <v>19</v>
      </c>
      <c r="B36" s="466" t="s">
        <v>59</v>
      </c>
      <c r="C36" s="465"/>
      <c r="D36" s="465"/>
      <c r="E36" s="465"/>
      <c r="F36" s="462"/>
      <c r="G36" s="463"/>
      <c r="H36" s="1">
        <v>25.56</v>
      </c>
      <c r="I36" s="223"/>
      <c r="J36" s="223"/>
      <c r="K36" s="223"/>
      <c r="L36" s="223"/>
      <c r="M36" s="22"/>
      <c r="N36" s="22"/>
      <c r="O36" s="22"/>
      <c r="P36" s="22"/>
    </row>
    <row r="37" spans="1:16" ht="12.75">
      <c r="A37" s="300">
        <v>20</v>
      </c>
      <c r="B37" s="469" t="s">
        <v>60</v>
      </c>
      <c r="C37" s="470"/>
      <c r="D37" s="470"/>
      <c r="E37" s="470"/>
      <c r="F37" s="470"/>
      <c r="G37" s="471"/>
      <c r="H37" s="1">
        <v>25.56</v>
      </c>
      <c r="I37" s="223"/>
      <c r="J37" s="223"/>
      <c r="K37" s="223"/>
      <c r="L37" s="223"/>
      <c r="M37" s="22"/>
      <c r="N37" s="22"/>
      <c r="O37" s="22"/>
      <c r="P37" s="22"/>
    </row>
    <row r="38" spans="1:16" ht="12.75">
      <c r="A38" s="300">
        <v>21</v>
      </c>
      <c r="B38" s="2" t="s">
        <v>13</v>
      </c>
      <c r="C38" s="3"/>
      <c r="D38" s="3"/>
      <c r="E38" s="3"/>
      <c r="F38" s="3"/>
      <c r="G38" s="4"/>
      <c r="H38" s="1">
        <v>30</v>
      </c>
      <c r="I38" s="223"/>
      <c r="J38" s="223"/>
      <c r="K38" s="223"/>
      <c r="L38" s="223"/>
      <c r="M38" s="22"/>
      <c r="N38" s="22"/>
      <c r="O38" s="22"/>
      <c r="P38" s="22"/>
    </row>
    <row r="39" spans="1:16" ht="12.75">
      <c r="A39" s="223"/>
      <c r="B39" s="223"/>
      <c r="C39" s="223"/>
      <c r="D39" s="223"/>
      <c r="E39" s="223"/>
      <c r="F39" s="223"/>
      <c r="G39" s="223"/>
      <c r="H39" s="223"/>
      <c r="I39" s="223"/>
      <c r="J39" s="223"/>
      <c r="K39" s="223"/>
      <c r="L39" s="223"/>
      <c r="M39" s="22"/>
      <c r="N39" s="22"/>
      <c r="O39" s="22"/>
      <c r="P39" s="22"/>
    </row>
    <row r="40" spans="1:16" ht="12.75">
      <c r="A40" s="223"/>
      <c r="B40" s="560" t="s">
        <v>17</v>
      </c>
      <c r="C40" s="561"/>
      <c r="D40" s="223"/>
      <c r="E40" s="475" t="s">
        <v>187</v>
      </c>
      <c r="F40" s="476"/>
      <c r="G40" s="476"/>
      <c r="H40" s="476"/>
      <c r="I40" s="476"/>
      <c r="J40" s="476"/>
      <c r="K40" s="477"/>
      <c r="L40" s="223"/>
      <c r="M40" s="22"/>
      <c r="N40" s="22"/>
      <c r="O40" s="22"/>
      <c r="P40" s="22"/>
    </row>
    <row r="41" spans="1:16" ht="12.75">
      <c r="A41" s="223"/>
      <c r="B41" s="480" t="s">
        <v>16</v>
      </c>
      <c r="C41" s="480" t="s">
        <v>18</v>
      </c>
      <c r="D41" s="223"/>
      <c r="E41" s="478" t="s">
        <v>16</v>
      </c>
      <c r="F41" s="588" t="s">
        <v>191</v>
      </c>
      <c r="G41" s="589"/>
      <c r="H41" s="589"/>
      <c r="I41" s="589"/>
      <c r="J41" s="589"/>
      <c r="K41" s="590"/>
      <c r="L41" s="223"/>
      <c r="M41" s="22"/>
      <c r="N41" s="22"/>
      <c r="O41" s="22"/>
      <c r="P41" s="22"/>
    </row>
    <row r="42" spans="1:16" ht="12.75">
      <c r="A42" s="223"/>
      <c r="B42" s="480">
        <v>1</v>
      </c>
      <c r="C42" s="6">
        <v>50</v>
      </c>
      <c r="D42" s="223"/>
      <c r="E42" s="479"/>
      <c r="F42" s="446" t="s">
        <v>179</v>
      </c>
      <c r="G42" s="446" t="s">
        <v>180</v>
      </c>
      <c r="H42" s="446" t="s">
        <v>181</v>
      </c>
      <c r="I42" s="446" t="s">
        <v>182</v>
      </c>
      <c r="J42" s="446" t="s">
        <v>183</v>
      </c>
      <c r="K42" s="446" t="s">
        <v>184</v>
      </c>
      <c r="L42" s="223"/>
      <c r="M42" s="22"/>
      <c r="N42" s="22"/>
      <c r="O42" s="22"/>
      <c r="P42" s="22"/>
    </row>
    <row r="43" spans="1:16" ht="12.75">
      <c r="A43" s="223"/>
      <c r="B43" s="480">
        <v>2</v>
      </c>
      <c r="C43" s="6">
        <v>60</v>
      </c>
      <c r="D43" s="223"/>
      <c r="E43" s="480">
        <v>1</v>
      </c>
      <c r="F43" s="142">
        <v>265</v>
      </c>
      <c r="G43" s="142">
        <v>280</v>
      </c>
      <c r="H43" s="142">
        <v>300</v>
      </c>
      <c r="I43" s="142">
        <v>325</v>
      </c>
      <c r="J43" s="142">
        <v>350</v>
      </c>
      <c r="K43" s="142">
        <v>370</v>
      </c>
      <c r="L43" s="223"/>
      <c r="M43" s="22"/>
      <c r="N43" s="22"/>
      <c r="O43" s="22"/>
      <c r="P43" s="22"/>
    </row>
    <row r="44" spans="1:16" ht="12.75">
      <c r="A44" s="223"/>
      <c r="B44" s="480">
        <v>3</v>
      </c>
      <c r="C44" s="6">
        <v>75</v>
      </c>
      <c r="D44" s="223"/>
      <c r="E44" s="480">
        <v>2</v>
      </c>
      <c r="F44" s="142">
        <v>320</v>
      </c>
      <c r="G44" s="142">
        <v>345</v>
      </c>
      <c r="H44" s="142">
        <v>365</v>
      </c>
      <c r="I44" s="142">
        <v>395</v>
      </c>
      <c r="J44" s="142">
        <v>425</v>
      </c>
      <c r="K44" s="142">
        <v>455</v>
      </c>
      <c r="L44" s="223"/>
      <c r="M44" s="22"/>
      <c r="N44" s="22"/>
      <c r="O44" s="22"/>
      <c r="P44" s="22"/>
    </row>
    <row r="45" spans="1:16" ht="12.75">
      <c r="A45" s="223"/>
      <c r="B45" s="480">
        <v>4</v>
      </c>
      <c r="C45" s="6">
        <v>90</v>
      </c>
      <c r="D45" s="223"/>
      <c r="E45" s="480">
        <v>3</v>
      </c>
      <c r="F45" s="142">
        <v>385</v>
      </c>
      <c r="G45" s="142">
        <v>410</v>
      </c>
      <c r="H45" s="142">
        <v>435</v>
      </c>
      <c r="I45" s="142">
        <v>470</v>
      </c>
      <c r="J45" s="142">
        <v>505</v>
      </c>
      <c r="K45" s="142">
        <v>540</v>
      </c>
      <c r="L45" s="223"/>
      <c r="M45" s="22"/>
      <c r="N45" s="22"/>
      <c r="O45" s="22"/>
      <c r="P45" s="22"/>
    </row>
    <row r="46" spans="1:16" ht="12.75">
      <c r="A46" s="223"/>
      <c r="B46" s="481" t="s">
        <v>186</v>
      </c>
      <c r="C46" s="591">
        <v>10</v>
      </c>
      <c r="D46" s="223"/>
      <c r="E46" s="480">
        <v>4</v>
      </c>
      <c r="F46" s="142">
        <v>445</v>
      </c>
      <c r="G46" s="142">
        <v>475</v>
      </c>
      <c r="H46" s="142">
        <v>505</v>
      </c>
      <c r="I46" s="142">
        <v>545</v>
      </c>
      <c r="J46" s="142">
        <v>590</v>
      </c>
      <c r="K46" s="142">
        <v>630</v>
      </c>
      <c r="L46" s="223"/>
      <c r="M46" s="22"/>
      <c r="N46" s="22"/>
      <c r="O46" s="22"/>
      <c r="P46" s="22"/>
    </row>
    <row r="47" spans="1:16" ht="12.75">
      <c r="A47" s="223"/>
      <c r="B47" s="268" t="s">
        <v>185</v>
      </c>
      <c r="C47" s="592"/>
      <c r="D47" s="223"/>
      <c r="E47" s="480">
        <v>5</v>
      </c>
      <c r="F47" s="142">
        <v>510</v>
      </c>
      <c r="G47" s="142">
        <v>545</v>
      </c>
      <c r="H47" s="142">
        <v>580</v>
      </c>
      <c r="I47" s="142">
        <v>625</v>
      </c>
      <c r="J47" s="142">
        <v>670</v>
      </c>
      <c r="K47" s="142">
        <v>715</v>
      </c>
      <c r="L47" s="223"/>
      <c r="M47" s="22"/>
      <c r="N47" s="22"/>
      <c r="O47" s="22"/>
      <c r="P47" s="22"/>
    </row>
    <row r="48" spans="1:16" ht="12.75">
      <c r="A48" s="223"/>
      <c r="B48" s="480">
        <v>5</v>
      </c>
      <c r="C48" s="480">
        <f>C45+C46</f>
        <v>100</v>
      </c>
      <c r="D48" s="223"/>
      <c r="E48" s="481" t="s">
        <v>186</v>
      </c>
      <c r="F48" s="591">
        <v>60</v>
      </c>
      <c r="G48" s="591">
        <v>65</v>
      </c>
      <c r="H48" s="591">
        <v>70</v>
      </c>
      <c r="I48" s="591">
        <v>75</v>
      </c>
      <c r="J48" s="591">
        <v>80</v>
      </c>
      <c r="K48" s="591">
        <v>90</v>
      </c>
      <c r="L48" s="223"/>
      <c r="M48" s="22"/>
      <c r="N48" s="22"/>
      <c r="O48" s="22"/>
      <c r="P48" s="22"/>
    </row>
    <row r="49" spans="1:16" ht="12.75">
      <c r="A49" s="223"/>
      <c r="B49" s="480">
        <v>6</v>
      </c>
      <c r="C49" s="480">
        <f>C45+C46*2</f>
        <v>110</v>
      </c>
      <c r="D49" s="258"/>
      <c r="E49" s="268" t="s">
        <v>185</v>
      </c>
      <c r="F49" s="592"/>
      <c r="G49" s="592"/>
      <c r="H49" s="592"/>
      <c r="I49" s="592"/>
      <c r="J49" s="592"/>
      <c r="K49" s="592"/>
      <c r="L49" s="223"/>
      <c r="M49" s="22"/>
      <c r="N49" s="22"/>
      <c r="O49" s="22"/>
      <c r="P49" s="22"/>
    </row>
    <row r="50" spans="1:16" ht="12.75">
      <c r="A50" s="223"/>
      <c r="B50" s="480">
        <v>7</v>
      </c>
      <c r="C50" s="480">
        <f>C45+C46*3</f>
        <v>120</v>
      </c>
      <c r="D50" s="258"/>
      <c r="E50" s="480">
        <v>6</v>
      </c>
      <c r="F50" s="482">
        <f aca="true" t="shared" si="0" ref="F50:K50">F47+F48</f>
        <v>570</v>
      </c>
      <c r="G50" s="482">
        <f t="shared" si="0"/>
        <v>610</v>
      </c>
      <c r="H50" s="482">
        <f t="shared" si="0"/>
        <v>650</v>
      </c>
      <c r="I50" s="482">
        <f t="shared" si="0"/>
        <v>700</v>
      </c>
      <c r="J50" s="482">
        <f t="shared" si="0"/>
        <v>750</v>
      </c>
      <c r="K50" s="482">
        <f t="shared" si="0"/>
        <v>805</v>
      </c>
      <c r="L50" s="223"/>
      <c r="M50" s="22"/>
      <c r="N50" s="22"/>
      <c r="O50" s="22"/>
      <c r="P50" s="22"/>
    </row>
    <row r="51" spans="1:16" ht="12.75">
      <c r="A51" s="223"/>
      <c r="B51" s="480">
        <v>8</v>
      </c>
      <c r="C51" s="480">
        <f>C45+C46*4</f>
        <v>130</v>
      </c>
      <c r="D51" s="258"/>
      <c r="E51" s="480">
        <v>7</v>
      </c>
      <c r="F51" s="480">
        <f aca="true" t="shared" si="1" ref="F51:K51">F47+F48*2</f>
        <v>630</v>
      </c>
      <c r="G51" s="480">
        <f t="shared" si="1"/>
        <v>675</v>
      </c>
      <c r="H51" s="480">
        <f t="shared" si="1"/>
        <v>720</v>
      </c>
      <c r="I51" s="480">
        <f t="shared" si="1"/>
        <v>775</v>
      </c>
      <c r="J51" s="480">
        <f t="shared" si="1"/>
        <v>830</v>
      </c>
      <c r="K51" s="480">
        <f t="shared" si="1"/>
        <v>895</v>
      </c>
      <c r="L51" s="223"/>
      <c r="M51" s="22"/>
      <c r="N51" s="22"/>
      <c r="O51" s="22"/>
      <c r="P51" s="22"/>
    </row>
    <row r="52" spans="1:16" ht="12.75">
      <c r="A52" s="223"/>
      <c r="B52" s="480">
        <v>9</v>
      </c>
      <c r="C52" s="480">
        <f>C45+C46*5</f>
        <v>140</v>
      </c>
      <c r="D52" s="258"/>
      <c r="E52" s="480">
        <v>8</v>
      </c>
      <c r="F52" s="480">
        <f aca="true" t="shared" si="2" ref="F52:K52">F47+F48*3</f>
        <v>690</v>
      </c>
      <c r="G52" s="480">
        <f t="shared" si="2"/>
        <v>740</v>
      </c>
      <c r="H52" s="480">
        <f t="shared" si="2"/>
        <v>790</v>
      </c>
      <c r="I52" s="480">
        <f t="shared" si="2"/>
        <v>850</v>
      </c>
      <c r="J52" s="480">
        <f t="shared" si="2"/>
        <v>910</v>
      </c>
      <c r="K52" s="480">
        <f t="shared" si="2"/>
        <v>985</v>
      </c>
      <c r="L52" s="223"/>
      <c r="M52" s="22"/>
      <c r="N52" s="22"/>
      <c r="O52" s="22"/>
      <c r="P52" s="22"/>
    </row>
    <row r="53" spans="1:16" ht="12.75">
      <c r="A53" s="228"/>
      <c r="B53" s="480">
        <v>10</v>
      </c>
      <c r="C53" s="480">
        <f>C45+C46*6</f>
        <v>150</v>
      </c>
      <c r="D53" s="258"/>
      <c r="E53" s="480">
        <v>9</v>
      </c>
      <c r="F53" s="480">
        <f aca="true" t="shared" si="3" ref="F53:K53">F47+F48*4</f>
        <v>750</v>
      </c>
      <c r="G53" s="480">
        <f t="shared" si="3"/>
        <v>805</v>
      </c>
      <c r="H53" s="480">
        <f t="shared" si="3"/>
        <v>860</v>
      </c>
      <c r="I53" s="480">
        <f t="shared" si="3"/>
        <v>925</v>
      </c>
      <c r="J53" s="480">
        <f t="shared" si="3"/>
        <v>990</v>
      </c>
      <c r="K53" s="480">
        <f t="shared" si="3"/>
        <v>1075</v>
      </c>
      <c r="L53" s="223"/>
      <c r="M53" s="22"/>
      <c r="N53" s="22"/>
      <c r="O53" s="22"/>
      <c r="P53" s="22"/>
    </row>
    <row r="54" spans="1:16" ht="12.75">
      <c r="A54" s="228"/>
      <c r="B54" s="480">
        <v>11</v>
      </c>
      <c r="C54" s="480">
        <f>C45+C46*7</f>
        <v>160</v>
      </c>
      <c r="D54" s="228"/>
      <c r="E54" s="480">
        <v>10</v>
      </c>
      <c r="F54" s="480">
        <f aca="true" t="shared" si="4" ref="F54:K54">F47+F48*5</f>
        <v>810</v>
      </c>
      <c r="G54" s="480">
        <f t="shared" si="4"/>
        <v>870</v>
      </c>
      <c r="H54" s="480">
        <f t="shared" si="4"/>
        <v>930</v>
      </c>
      <c r="I54" s="480">
        <f t="shared" si="4"/>
        <v>1000</v>
      </c>
      <c r="J54" s="480">
        <f t="shared" si="4"/>
        <v>1070</v>
      </c>
      <c r="K54" s="480">
        <f t="shared" si="4"/>
        <v>1165</v>
      </c>
      <c r="L54" s="223"/>
      <c r="M54" s="22"/>
      <c r="N54" s="22"/>
      <c r="O54" s="22"/>
      <c r="P54" s="22"/>
    </row>
    <row r="55" spans="1:16" ht="12.75">
      <c r="A55" s="223"/>
      <c r="B55" s="480">
        <v>12</v>
      </c>
      <c r="C55" s="480">
        <f>C45+C46*8</f>
        <v>170</v>
      </c>
      <c r="D55" s="223"/>
      <c r="E55" s="480">
        <v>11</v>
      </c>
      <c r="F55" s="480">
        <f aca="true" t="shared" si="5" ref="F55:K55">F47+F48*6</f>
        <v>870</v>
      </c>
      <c r="G55" s="480">
        <f t="shared" si="5"/>
        <v>935</v>
      </c>
      <c r="H55" s="480">
        <f t="shared" si="5"/>
        <v>1000</v>
      </c>
      <c r="I55" s="480">
        <f t="shared" si="5"/>
        <v>1075</v>
      </c>
      <c r="J55" s="480">
        <f t="shared" si="5"/>
        <v>1150</v>
      </c>
      <c r="K55" s="480">
        <f t="shared" si="5"/>
        <v>1255</v>
      </c>
      <c r="L55" s="223"/>
      <c r="M55" s="22"/>
      <c r="N55" s="22"/>
      <c r="O55" s="22"/>
      <c r="P55" s="22"/>
    </row>
    <row r="56" spans="1:16" ht="12.75">
      <c r="A56" s="223"/>
      <c r="B56" s="480">
        <v>13</v>
      </c>
      <c r="C56" s="480">
        <f>C45+C46*9</f>
        <v>180</v>
      </c>
      <c r="D56" s="223"/>
      <c r="E56" s="480">
        <v>12</v>
      </c>
      <c r="F56" s="480">
        <f aca="true" t="shared" si="6" ref="F56:K56">F47+F48*7</f>
        <v>930</v>
      </c>
      <c r="G56" s="480">
        <f t="shared" si="6"/>
        <v>1000</v>
      </c>
      <c r="H56" s="480">
        <f t="shared" si="6"/>
        <v>1070</v>
      </c>
      <c r="I56" s="480">
        <f t="shared" si="6"/>
        <v>1150</v>
      </c>
      <c r="J56" s="480">
        <f t="shared" si="6"/>
        <v>1230</v>
      </c>
      <c r="K56" s="480">
        <f t="shared" si="6"/>
        <v>1345</v>
      </c>
      <c r="L56" s="223"/>
      <c r="M56" s="22"/>
      <c r="N56" s="22"/>
      <c r="O56" s="22"/>
      <c r="P56" s="22"/>
    </row>
    <row r="57" spans="1:16" ht="12.75">
      <c r="A57" s="223"/>
      <c r="B57" s="480">
        <v>14</v>
      </c>
      <c r="C57" s="480">
        <f>C45+C46*10</f>
        <v>190</v>
      </c>
      <c r="D57" s="223"/>
      <c r="E57" s="480">
        <v>13</v>
      </c>
      <c r="F57" s="480">
        <f aca="true" t="shared" si="7" ref="F57:K57">F47+F48*8</f>
        <v>990</v>
      </c>
      <c r="G57" s="480">
        <f t="shared" si="7"/>
        <v>1065</v>
      </c>
      <c r="H57" s="480">
        <f t="shared" si="7"/>
        <v>1140</v>
      </c>
      <c r="I57" s="480">
        <f t="shared" si="7"/>
        <v>1225</v>
      </c>
      <c r="J57" s="480">
        <f t="shared" si="7"/>
        <v>1310</v>
      </c>
      <c r="K57" s="480">
        <f t="shared" si="7"/>
        <v>1435</v>
      </c>
      <c r="L57" s="223"/>
      <c r="M57" s="22"/>
      <c r="N57" s="22"/>
      <c r="O57" s="22"/>
      <c r="P57" s="22"/>
    </row>
    <row r="58" spans="1:16" ht="12.75">
      <c r="A58" s="228"/>
      <c r="B58" s="480">
        <v>15</v>
      </c>
      <c r="C58" s="480">
        <f>C45+C46*11</f>
        <v>200</v>
      </c>
      <c r="D58" s="223"/>
      <c r="E58" s="480">
        <v>15</v>
      </c>
      <c r="F58" s="480">
        <f aca="true" t="shared" si="8" ref="F58:K58">F47+F48*10</f>
        <v>1110</v>
      </c>
      <c r="G58" s="480">
        <f t="shared" si="8"/>
        <v>1195</v>
      </c>
      <c r="H58" s="480">
        <f t="shared" si="8"/>
        <v>1280</v>
      </c>
      <c r="I58" s="480">
        <f t="shared" si="8"/>
        <v>1375</v>
      </c>
      <c r="J58" s="480">
        <f t="shared" si="8"/>
        <v>1470</v>
      </c>
      <c r="K58" s="480">
        <f t="shared" si="8"/>
        <v>1615</v>
      </c>
      <c r="L58" s="223"/>
      <c r="M58" s="22"/>
      <c r="N58" s="22"/>
      <c r="O58" s="22"/>
      <c r="P58" s="22"/>
    </row>
    <row r="59" spans="1:16" ht="12.75">
      <c r="A59" s="223"/>
      <c r="B59" s="223"/>
      <c r="C59" s="223"/>
      <c r="D59" s="223"/>
      <c r="E59" s="223"/>
      <c r="F59" s="223"/>
      <c r="G59" s="223"/>
      <c r="H59" s="223"/>
      <c r="I59" s="223"/>
      <c r="J59" s="223"/>
      <c r="K59" s="223"/>
      <c r="L59" s="223"/>
      <c r="M59" s="22"/>
      <c r="N59" s="22"/>
      <c r="O59" s="22"/>
      <c r="P59" s="22"/>
    </row>
    <row r="60" spans="1:16" ht="12.75">
      <c r="A60" s="223"/>
      <c r="B60" s="560" t="s">
        <v>19</v>
      </c>
      <c r="C60" s="561"/>
      <c r="D60" s="223"/>
      <c r="E60" s="483" t="s">
        <v>364</v>
      </c>
      <c r="F60" s="484"/>
      <c r="G60" s="477"/>
      <c r="H60" s="443"/>
      <c r="I60" s="223"/>
      <c r="J60" s="223"/>
      <c r="K60" s="223"/>
      <c r="L60" s="223"/>
      <c r="M60" s="22"/>
      <c r="N60" s="22"/>
      <c r="O60" s="22"/>
      <c r="P60" s="22"/>
    </row>
    <row r="61" spans="1:16" ht="12.75">
      <c r="A61" s="223"/>
      <c r="B61" s="480" t="s">
        <v>20</v>
      </c>
      <c r="C61" s="480"/>
      <c r="D61" s="223"/>
      <c r="E61" s="485" t="s">
        <v>365</v>
      </c>
      <c r="F61" s="486"/>
      <c r="G61" s="214">
        <v>0.18</v>
      </c>
      <c r="H61" s="487"/>
      <c r="I61" s="223"/>
      <c r="J61" s="223"/>
      <c r="K61" s="223"/>
      <c r="L61" s="223"/>
      <c r="M61" s="22"/>
      <c r="N61" s="22"/>
      <c r="O61" s="22"/>
      <c r="P61" s="22"/>
    </row>
    <row r="62" spans="1:16" ht="12.75">
      <c r="A62" s="223"/>
      <c r="B62" s="9">
        <v>1</v>
      </c>
      <c r="C62" s="480" t="s">
        <v>21</v>
      </c>
      <c r="D62" s="223"/>
      <c r="E62" s="223"/>
      <c r="F62" s="223"/>
      <c r="G62" s="223"/>
      <c r="H62" s="223"/>
      <c r="I62" s="223"/>
      <c r="J62" s="223"/>
      <c r="K62" s="223"/>
      <c r="L62" s="223"/>
      <c r="M62" s="22"/>
      <c r="N62" s="22"/>
      <c r="O62" s="22"/>
      <c r="P62" s="22"/>
    </row>
    <row r="63" spans="1:16" ht="12.75">
      <c r="A63" s="223"/>
      <c r="B63" s="223"/>
      <c r="C63" s="223"/>
      <c r="D63" s="223"/>
      <c r="E63" s="223"/>
      <c r="F63" s="223"/>
      <c r="G63" s="223"/>
      <c r="H63" s="223"/>
      <c r="I63" s="223"/>
      <c r="J63" s="223"/>
      <c r="K63" s="223"/>
      <c r="L63" s="223"/>
      <c r="M63" s="22"/>
      <c r="N63" s="22"/>
      <c r="O63" s="22"/>
      <c r="P63" s="22"/>
    </row>
    <row r="64" spans="1:16" s="50" customFormat="1" ht="12.75">
      <c r="A64" s="22"/>
      <c r="B64" s="22"/>
      <c r="C64" s="22"/>
      <c r="D64" s="22"/>
      <c r="E64" s="22"/>
      <c r="F64" s="22"/>
      <c r="G64" s="22"/>
      <c r="H64" s="22"/>
      <c r="I64" s="22"/>
      <c r="J64" s="22"/>
      <c r="K64" s="22"/>
      <c r="L64" s="22"/>
      <c r="M64" s="22"/>
      <c r="N64" s="22"/>
      <c r="O64" s="22"/>
      <c r="P64" s="22"/>
    </row>
    <row r="65" spans="1:16" s="50" customFormat="1" ht="12.75">
      <c r="A65" s="22"/>
      <c r="B65" s="22"/>
      <c r="C65" s="22"/>
      <c r="D65" s="22"/>
      <c r="E65" s="22"/>
      <c r="F65" s="22"/>
      <c r="G65" s="22"/>
      <c r="H65" s="22"/>
      <c r="I65" s="22"/>
      <c r="J65" s="22"/>
      <c r="K65" s="22"/>
      <c r="L65" s="22"/>
      <c r="M65" s="22"/>
      <c r="N65" s="22"/>
      <c r="O65" s="22"/>
      <c r="P65" s="22"/>
    </row>
    <row r="66" spans="1:16" s="50" customFormat="1" ht="12.75">
      <c r="A66" s="22"/>
      <c r="B66" s="22"/>
      <c r="C66" s="22"/>
      <c r="D66" s="22"/>
      <c r="E66" s="22"/>
      <c r="F66" s="22"/>
      <c r="G66" s="22"/>
      <c r="H66" s="22"/>
      <c r="I66" s="22"/>
      <c r="J66" s="22"/>
      <c r="K66" s="22"/>
      <c r="L66" s="22"/>
      <c r="M66" s="22"/>
      <c r="N66" s="22"/>
      <c r="O66" s="22"/>
      <c r="P66" s="22"/>
    </row>
    <row r="67" spans="1:16" s="50" customFormat="1" ht="12.75">
      <c r="A67" s="22"/>
      <c r="B67" s="22"/>
      <c r="C67" s="22"/>
      <c r="D67" s="22"/>
      <c r="E67" s="22"/>
      <c r="F67" s="22"/>
      <c r="G67" s="22"/>
      <c r="H67" s="22"/>
      <c r="I67" s="22"/>
      <c r="J67" s="22"/>
      <c r="K67" s="22"/>
      <c r="L67" s="22"/>
      <c r="M67" s="22"/>
      <c r="N67" s="22"/>
      <c r="O67" s="22"/>
      <c r="P67" s="22"/>
    </row>
    <row r="68" spans="1:16" s="50" customFormat="1" ht="12.75">
      <c r="A68" s="22"/>
      <c r="B68" s="22"/>
      <c r="C68" s="22"/>
      <c r="D68" s="22"/>
      <c r="E68" s="22"/>
      <c r="F68" s="22"/>
      <c r="G68" s="22"/>
      <c r="H68" s="22"/>
      <c r="I68" s="22"/>
      <c r="J68" s="22"/>
      <c r="K68" s="22"/>
      <c r="L68" s="22"/>
      <c r="M68" s="22"/>
      <c r="N68" s="22"/>
      <c r="O68" s="22"/>
      <c r="P68" s="22"/>
    </row>
    <row r="69" spans="1:16" s="50" customFormat="1" ht="12.75">
      <c r="A69" s="22"/>
      <c r="B69" s="22"/>
      <c r="C69" s="22"/>
      <c r="D69" s="22"/>
      <c r="E69" s="22"/>
      <c r="F69" s="22"/>
      <c r="G69" s="22"/>
      <c r="H69" s="22"/>
      <c r="I69" s="22"/>
      <c r="J69" s="22"/>
      <c r="K69" s="22"/>
      <c r="L69" s="22"/>
      <c r="M69" s="22"/>
      <c r="N69" s="22"/>
      <c r="O69" s="22"/>
      <c r="P69" s="22"/>
    </row>
    <row r="70" spans="1:16" s="50" customFormat="1" ht="12.75">
      <c r="A70" s="22"/>
      <c r="B70" s="22"/>
      <c r="C70" s="22"/>
      <c r="D70" s="22"/>
      <c r="E70" s="22"/>
      <c r="F70" s="22"/>
      <c r="G70" s="22"/>
      <c r="H70" s="22"/>
      <c r="I70" s="22"/>
      <c r="J70" s="22"/>
      <c r="K70" s="22"/>
      <c r="L70" s="22"/>
      <c r="M70" s="22"/>
      <c r="N70" s="22"/>
      <c r="O70" s="22"/>
      <c r="P70" s="22"/>
    </row>
    <row r="71" spans="1:16" s="50" customFormat="1" ht="12.75">
      <c r="A71" s="22"/>
      <c r="B71" s="22"/>
      <c r="C71" s="22"/>
      <c r="D71" s="22"/>
      <c r="E71" s="22"/>
      <c r="F71" s="22"/>
      <c r="G71" s="22"/>
      <c r="H71" s="22"/>
      <c r="I71" s="22"/>
      <c r="J71" s="22"/>
      <c r="K71" s="22"/>
      <c r="L71" s="22"/>
      <c r="M71" s="22"/>
      <c r="N71" s="22"/>
      <c r="O71" s="22"/>
      <c r="P71" s="22"/>
    </row>
    <row r="72" spans="1:16" s="50" customFormat="1" ht="12.75">
      <c r="A72" s="22"/>
      <c r="B72" s="22"/>
      <c r="C72" s="22"/>
      <c r="D72" s="22"/>
      <c r="E72" s="22"/>
      <c r="F72" s="22"/>
      <c r="G72" s="22"/>
      <c r="H72" s="22"/>
      <c r="I72" s="22"/>
      <c r="J72" s="22"/>
      <c r="K72" s="22"/>
      <c r="L72" s="22"/>
      <c r="M72" s="22"/>
      <c r="N72" s="22"/>
      <c r="O72" s="22"/>
      <c r="P72" s="22"/>
    </row>
    <row r="73" spans="1:16" s="50" customFormat="1" ht="12.75">
      <c r="A73" s="22"/>
      <c r="B73" s="22"/>
      <c r="C73" s="22"/>
      <c r="D73" s="22"/>
      <c r="E73" s="22"/>
      <c r="F73" s="22"/>
      <c r="G73" s="22"/>
      <c r="H73" s="22"/>
      <c r="I73" s="22"/>
      <c r="J73" s="22"/>
      <c r="K73" s="22"/>
      <c r="L73" s="22"/>
      <c r="M73" s="22"/>
      <c r="N73" s="22"/>
      <c r="O73" s="22"/>
      <c r="P73" s="22"/>
    </row>
    <row r="74" spans="1:16" s="50" customFormat="1" ht="12.75">
      <c r="A74" s="22"/>
      <c r="B74" s="22"/>
      <c r="C74" s="22"/>
      <c r="D74" s="22"/>
      <c r="E74" s="22"/>
      <c r="F74" s="22"/>
      <c r="G74" s="22"/>
      <c r="H74" s="22"/>
      <c r="I74" s="22"/>
      <c r="J74" s="22"/>
      <c r="K74" s="22"/>
      <c r="L74" s="22"/>
      <c r="M74" s="22"/>
      <c r="N74" s="22"/>
      <c r="O74" s="22"/>
      <c r="P74" s="22"/>
    </row>
    <row r="75" spans="1:16" s="50" customFormat="1" ht="12.75">
      <c r="A75" s="22"/>
      <c r="B75" s="22"/>
      <c r="C75" s="22"/>
      <c r="D75" s="22"/>
      <c r="E75" s="22"/>
      <c r="F75" s="22"/>
      <c r="G75" s="22"/>
      <c r="H75" s="22"/>
      <c r="I75" s="22"/>
      <c r="J75" s="22"/>
      <c r="K75" s="22"/>
      <c r="L75" s="22"/>
      <c r="M75" s="22"/>
      <c r="N75" s="22"/>
      <c r="O75" s="22"/>
      <c r="P75" s="22"/>
    </row>
    <row r="76" spans="1:16" s="50" customFormat="1" ht="12.75">
      <c r="A76" s="22"/>
      <c r="B76" s="22"/>
      <c r="C76" s="22"/>
      <c r="D76" s="22"/>
      <c r="E76" s="22"/>
      <c r="F76" s="22"/>
      <c r="G76" s="22"/>
      <c r="H76" s="22"/>
      <c r="I76" s="22"/>
      <c r="J76" s="22"/>
      <c r="K76" s="22"/>
      <c r="L76" s="22"/>
      <c r="M76" s="22"/>
      <c r="N76" s="22"/>
      <c r="O76" s="22"/>
      <c r="P76" s="22"/>
    </row>
    <row r="77" spans="1:16" s="50" customFormat="1" ht="12.75">
      <c r="A77" s="22"/>
      <c r="B77" s="22"/>
      <c r="C77" s="22"/>
      <c r="D77" s="22"/>
      <c r="E77" s="22"/>
      <c r="F77" s="22"/>
      <c r="G77" s="22"/>
      <c r="H77" s="22"/>
      <c r="I77" s="22"/>
      <c r="J77" s="22"/>
      <c r="K77" s="22"/>
      <c r="L77" s="22"/>
      <c r="M77" s="22"/>
      <c r="N77" s="22"/>
      <c r="O77" s="22"/>
      <c r="P77" s="22"/>
    </row>
    <row r="78" spans="1:16" s="50" customFormat="1" ht="12.75">
      <c r="A78" s="22"/>
      <c r="B78" s="22"/>
      <c r="C78" s="22"/>
      <c r="D78" s="22"/>
      <c r="E78" s="22"/>
      <c r="F78" s="22"/>
      <c r="G78" s="22"/>
      <c r="H78" s="22"/>
      <c r="I78" s="22"/>
      <c r="J78" s="22"/>
      <c r="K78" s="22"/>
      <c r="L78" s="22"/>
      <c r="M78" s="22"/>
      <c r="N78" s="22"/>
      <c r="O78" s="22"/>
      <c r="P78" s="22"/>
    </row>
    <row r="79" spans="1:16" s="50" customFormat="1" ht="12.75">
      <c r="A79" s="22"/>
      <c r="B79" s="22"/>
      <c r="C79" s="22"/>
      <c r="D79" s="22"/>
      <c r="E79" s="22"/>
      <c r="F79" s="22"/>
      <c r="G79" s="22"/>
      <c r="H79" s="22"/>
      <c r="I79" s="22"/>
      <c r="J79" s="22"/>
      <c r="K79" s="22"/>
      <c r="L79" s="22"/>
      <c r="M79" s="22"/>
      <c r="N79" s="22"/>
      <c r="O79" s="22"/>
      <c r="P79" s="22"/>
    </row>
    <row r="80" spans="1:16" s="50" customFormat="1" ht="12.75">
      <c r="A80" s="22"/>
      <c r="B80" s="22"/>
      <c r="C80" s="22"/>
      <c r="D80" s="22"/>
      <c r="E80" s="22"/>
      <c r="F80" s="22"/>
      <c r="G80" s="22"/>
      <c r="H80" s="22"/>
      <c r="I80" s="22"/>
      <c r="J80" s="22"/>
      <c r="K80" s="22"/>
      <c r="L80" s="22"/>
      <c r="M80" s="22"/>
      <c r="N80" s="22"/>
      <c r="O80" s="22"/>
      <c r="P80" s="22"/>
    </row>
    <row r="81" spans="1:16" s="50" customFormat="1" ht="12.75">
      <c r="A81" s="22"/>
      <c r="B81" s="22"/>
      <c r="C81" s="22"/>
      <c r="D81" s="22"/>
      <c r="E81" s="22"/>
      <c r="F81" s="22"/>
      <c r="G81" s="22"/>
      <c r="H81" s="22"/>
      <c r="I81" s="22"/>
      <c r="J81" s="22"/>
      <c r="K81" s="22"/>
      <c r="L81" s="22"/>
      <c r="M81" s="22"/>
      <c r="N81" s="22"/>
      <c r="O81" s="22"/>
      <c r="P81" s="22"/>
    </row>
    <row r="82" spans="1:16" s="50" customFormat="1" ht="12.75">
      <c r="A82" s="22"/>
      <c r="B82" s="22"/>
      <c r="C82" s="22"/>
      <c r="D82" s="22"/>
      <c r="E82" s="22"/>
      <c r="F82" s="22"/>
      <c r="G82" s="22"/>
      <c r="H82" s="22"/>
      <c r="I82" s="22"/>
      <c r="J82" s="22"/>
      <c r="K82" s="22"/>
      <c r="L82" s="22"/>
      <c r="M82" s="22"/>
      <c r="N82" s="22"/>
      <c r="O82" s="22"/>
      <c r="P82" s="22"/>
    </row>
    <row r="83" spans="1:16" s="50" customFormat="1" ht="12.75">
      <c r="A83" s="22"/>
      <c r="B83" s="22"/>
      <c r="C83" s="22"/>
      <c r="D83" s="22"/>
      <c r="E83" s="22"/>
      <c r="F83" s="22"/>
      <c r="G83" s="22"/>
      <c r="H83" s="22"/>
      <c r="I83" s="22"/>
      <c r="J83" s="22"/>
      <c r="K83" s="22"/>
      <c r="L83" s="22"/>
      <c r="M83" s="22"/>
      <c r="N83" s="22"/>
      <c r="O83" s="22"/>
      <c r="P83" s="22"/>
    </row>
    <row r="84" spans="1:16" s="50" customFormat="1" ht="12.75">
      <c r="A84" s="22"/>
      <c r="B84" s="22"/>
      <c r="C84" s="22"/>
      <c r="D84" s="22"/>
      <c r="E84" s="22"/>
      <c r="F84" s="22"/>
      <c r="G84" s="22"/>
      <c r="H84" s="22"/>
      <c r="I84" s="22"/>
      <c r="J84" s="22"/>
      <c r="K84" s="22"/>
      <c r="L84" s="22"/>
      <c r="M84" s="22"/>
      <c r="N84" s="22"/>
      <c r="O84" s="22"/>
      <c r="P84" s="22"/>
    </row>
    <row r="85" spans="1:16" s="50" customFormat="1" ht="12.75">
      <c r="A85" s="22"/>
      <c r="B85" s="22"/>
      <c r="C85" s="22"/>
      <c r="D85" s="22"/>
      <c r="E85" s="22"/>
      <c r="F85" s="22"/>
      <c r="G85" s="22"/>
      <c r="H85" s="22"/>
      <c r="I85" s="22"/>
      <c r="J85" s="22"/>
      <c r="K85" s="22"/>
      <c r="L85" s="22"/>
      <c r="M85" s="22"/>
      <c r="N85" s="22"/>
      <c r="O85" s="22"/>
      <c r="P85" s="22"/>
    </row>
    <row r="86" spans="1:16" s="50" customFormat="1" ht="12.75">
      <c r="A86" s="22"/>
      <c r="B86" s="22"/>
      <c r="C86" s="22"/>
      <c r="D86" s="22"/>
      <c r="E86" s="22"/>
      <c r="F86" s="22"/>
      <c r="G86" s="22"/>
      <c r="H86" s="22"/>
      <c r="I86" s="22"/>
      <c r="J86" s="22"/>
      <c r="K86" s="22"/>
      <c r="L86" s="22"/>
      <c r="M86" s="22"/>
      <c r="N86" s="22"/>
      <c r="O86" s="22"/>
      <c r="P86" s="22"/>
    </row>
    <row r="87" spans="1:16" s="50" customFormat="1" ht="12.75">
      <c r="A87" s="22"/>
      <c r="B87" s="22"/>
      <c r="C87" s="22"/>
      <c r="D87" s="22"/>
      <c r="E87" s="22"/>
      <c r="F87" s="22"/>
      <c r="G87" s="22"/>
      <c r="H87" s="22"/>
      <c r="I87" s="22"/>
      <c r="J87" s="22"/>
      <c r="K87" s="22"/>
      <c r="L87" s="22"/>
      <c r="M87" s="22"/>
      <c r="N87" s="22"/>
      <c r="O87" s="22"/>
      <c r="P87" s="22"/>
    </row>
    <row r="88" spans="1:16" s="50" customFormat="1" ht="12.75">
      <c r="A88" s="22"/>
      <c r="B88" s="22"/>
      <c r="C88" s="22"/>
      <c r="D88" s="22"/>
      <c r="E88" s="22"/>
      <c r="F88" s="22"/>
      <c r="G88" s="22"/>
      <c r="H88" s="22"/>
      <c r="I88" s="22"/>
      <c r="J88" s="22"/>
      <c r="K88" s="22"/>
      <c r="L88" s="22"/>
      <c r="M88" s="22"/>
      <c r="N88" s="22"/>
      <c r="O88" s="22"/>
      <c r="P88" s="22"/>
    </row>
    <row r="89" spans="1:16" s="50" customFormat="1" ht="12.75">
      <c r="A89" s="22"/>
      <c r="B89" s="22"/>
      <c r="C89" s="22"/>
      <c r="D89" s="22"/>
      <c r="E89" s="22"/>
      <c r="F89" s="22"/>
      <c r="G89" s="22"/>
      <c r="H89" s="22"/>
      <c r="I89" s="22"/>
      <c r="J89" s="22"/>
      <c r="K89" s="22"/>
      <c r="L89" s="22"/>
      <c r="M89" s="22"/>
      <c r="N89" s="22"/>
      <c r="O89" s="22"/>
      <c r="P89" s="22"/>
    </row>
    <row r="90" spans="1:16" s="50" customFormat="1" ht="12.75">
      <c r="A90" s="22"/>
      <c r="B90" s="22"/>
      <c r="C90" s="22"/>
      <c r="D90" s="22"/>
      <c r="E90" s="22"/>
      <c r="F90" s="22"/>
      <c r="G90" s="22"/>
      <c r="H90" s="22"/>
      <c r="I90" s="22"/>
      <c r="J90" s="22"/>
      <c r="K90" s="22"/>
      <c r="L90" s="22"/>
      <c r="M90" s="22"/>
      <c r="N90" s="22"/>
      <c r="O90" s="22"/>
      <c r="P90" s="22"/>
    </row>
    <row r="91" spans="1:16" s="50" customFormat="1" ht="12.75">
      <c r="A91" s="22"/>
      <c r="B91" s="22"/>
      <c r="C91" s="22"/>
      <c r="D91" s="22"/>
      <c r="E91" s="22"/>
      <c r="F91" s="22"/>
      <c r="G91" s="22"/>
      <c r="H91" s="22"/>
      <c r="I91" s="22"/>
      <c r="J91" s="22"/>
      <c r="K91" s="22"/>
      <c r="L91" s="22"/>
      <c r="M91" s="22"/>
      <c r="N91" s="22"/>
      <c r="O91" s="22"/>
      <c r="P91" s="22"/>
    </row>
    <row r="92" spans="1:16" s="50" customFormat="1" ht="12.75">
      <c r="A92" s="22"/>
      <c r="B92" s="22"/>
      <c r="C92" s="22"/>
      <c r="D92" s="22"/>
      <c r="E92" s="22"/>
      <c r="F92" s="22"/>
      <c r="G92" s="22"/>
      <c r="H92" s="22"/>
      <c r="I92" s="22"/>
      <c r="J92" s="22"/>
      <c r="K92" s="22"/>
      <c r="L92" s="22"/>
      <c r="M92" s="22"/>
      <c r="N92" s="22"/>
      <c r="O92" s="22"/>
      <c r="P92" s="22"/>
    </row>
    <row r="93" spans="1:16" s="50" customFormat="1" ht="12.75">
      <c r="A93" s="22"/>
      <c r="B93" s="22"/>
      <c r="C93" s="22"/>
      <c r="D93" s="22"/>
      <c r="E93" s="22"/>
      <c r="F93" s="22"/>
      <c r="G93" s="22"/>
      <c r="H93" s="22"/>
      <c r="I93" s="22"/>
      <c r="J93" s="22"/>
      <c r="K93" s="22"/>
      <c r="L93" s="22"/>
      <c r="M93" s="22"/>
      <c r="N93" s="22"/>
      <c r="O93" s="22"/>
      <c r="P93" s="22"/>
    </row>
    <row r="94" spans="1:16" ht="12.75">
      <c r="A94" s="22"/>
      <c r="B94" s="22"/>
      <c r="C94" s="22"/>
      <c r="D94" s="22"/>
      <c r="E94" s="22"/>
      <c r="F94" s="22"/>
      <c r="G94" s="22"/>
      <c r="H94" s="22"/>
      <c r="I94" s="22"/>
      <c r="J94" s="22"/>
      <c r="K94" s="22"/>
      <c r="L94" s="22"/>
      <c r="M94" s="22"/>
      <c r="N94" s="22"/>
      <c r="O94" s="22"/>
      <c r="P94" s="22"/>
    </row>
    <row r="95" spans="1:16" ht="12.75">
      <c r="A95" s="22"/>
      <c r="B95" s="22"/>
      <c r="C95" s="22"/>
      <c r="D95" s="22"/>
      <c r="E95" s="22"/>
      <c r="F95" s="22"/>
      <c r="G95" s="22"/>
      <c r="H95" s="22"/>
      <c r="I95" s="22"/>
      <c r="J95" s="22"/>
      <c r="K95" s="22"/>
      <c r="L95" s="22"/>
      <c r="M95" s="22"/>
      <c r="N95" s="22"/>
      <c r="O95" s="22"/>
      <c r="P95" s="22"/>
    </row>
    <row r="96" spans="1:16" ht="12.75">
      <c r="A96" s="22"/>
      <c r="B96" s="22"/>
      <c r="C96" s="22"/>
      <c r="D96" s="22"/>
      <c r="E96" s="22"/>
      <c r="F96" s="22"/>
      <c r="G96" s="22"/>
      <c r="H96" s="22"/>
      <c r="I96" s="22"/>
      <c r="J96" s="22"/>
      <c r="K96" s="22"/>
      <c r="L96" s="22"/>
      <c r="M96" s="22"/>
      <c r="N96" s="22"/>
      <c r="O96" s="22"/>
      <c r="P96" s="22"/>
    </row>
    <row r="97" spans="1:16" ht="12.75">
      <c r="A97" s="22"/>
      <c r="B97" s="22"/>
      <c r="C97" s="22"/>
      <c r="D97" s="22"/>
      <c r="E97" s="22"/>
      <c r="F97" s="22"/>
      <c r="G97" s="22"/>
      <c r="H97" s="22"/>
      <c r="I97" s="22"/>
      <c r="J97" s="22"/>
      <c r="K97" s="22"/>
      <c r="L97" s="22"/>
      <c r="M97" s="22"/>
      <c r="N97" s="22"/>
      <c r="O97" s="22"/>
      <c r="P97" s="22"/>
    </row>
    <row r="98" spans="1:16" ht="12.75">
      <c r="A98" s="22"/>
      <c r="B98" s="22"/>
      <c r="C98" s="22"/>
      <c r="D98" s="22"/>
      <c r="E98" s="22"/>
      <c r="F98" s="22"/>
      <c r="G98" s="22"/>
      <c r="H98" s="22"/>
      <c r="I98" s="22"/>
      <c r="J98" s="22"/>
      <c r="K98" s="22"/>
      <c r="L98" s="22"/>
      <c r="M98" s="22"/>
      <c r="N98" s="22"/>
      <c r="O98" s="22"/>
      <c r="P98" s="22"/>
    </row>
    <row r="99" spans="1:16" ht="12.75">
      <c r="A99" s="22"/>
      <c r="B99" s="22"/>
      <c r="C99" s="22"/>
      <c r="D99" s="22"/>
      <c r="E99" s="22"/>
      <c r="F99" s="22"/>
      <c r="G99" s="22"/>
      <c r="H99" s="22"/>
      <c r="I99" s="22"/>
      <c r="J99" s="22"/>
      <c r="K99" s="22"/>
      <c r="L99" s="22"/>
      <c r="M99" s="22"/>
      <c r="N99" s="22"/>
      <c r="O99" s="22"/>
      <c r="P99" s="22"/>
    </row>
    <row r="100" spans="1:16" ht="12.75">
      <c r="A100" s="22"/>
      <c r="B100" s="22"/>
      <c r="C100" s="22"/>
      <c r="D100" s="22"/>
      <c r="E100" s="22"/>
      <c r="F100" s="22"/>
      <c r="G100" s="22"/>
      <c r="H100" s="22"/>
      <c r="I100" s="22"/>
      <c r="J100" s="22"/>
      <c r="K100" s="22"/>
      <c r="L100" s="22"/>
      <c r="M100" s="22"/>
      <c r="N100" s="22"/>
      <c r="O100" s="22"/>
      <c r="P100" s="22"/>
    </row>
    <row r="101" spans="1:16" ht="12.75">
      <c r="A101" s="22"/>
      <c r="B101" s="22"/>
      <c r="C101" s="22"/>
      <c r="D101" s="22"/>
      <c r="E101" s="22"/>
      <c r="F101" s="22"/>
      <c r="G101" s="22"/>
      <c r="H101" s="22"/>
      <c r="I101" s="22"/>
      <c r="J101" s="22"/>
      <c r="K101" s="22"/>
      <c r="L101" s="22"/>
      <c r="M101" s="22"/>
      <c r="N101" s="22"/>
      <c r="O101" s="22"/>
      <c r="P101" s="22"/>
    </row>
    <row r="102" spans="1:16" ht="12.75">
      <c r="A102" s="22"/>
      <c r="B102" s="22"/>
      <c r="C102" s="22"/>
      <c r="D102" s="22"/>
      <c r="E102" s="22"/>
      <c r="F102" s="22"/>
      <c r="G102" s="22"/>
      <c r="H102" s="22"/>
      <c r="I102" s="22"/>
      <c r="J102" s="22"/>
      <c r="K102" s="22"/>
      <c r="L102" s="22"/>
      <c r="M102" s="22"/>
      <c r="N102" s="22"/>
      <c r="O102" s="22"/>
      <c r="P102" s="22"/>
    </row>
    <row r="103" spans="1:16" ht="12.75">
      <c r="A103" s="22"/>
      <c r="B103" s="22"/>
      <c r="C103" s="22"/>
      <c r="D103" s="22"/>
      <c r="E103" s="22"/>
      <c r="F103" s="22"/>
      <c r="G103" s="22"/>
      <c r="H103" s="22"/>
      <c r="I103" s="22"/>
      <c r="J103" s="22"/>
      <c r="K103" s="22"/>
      <c r="L103" s="22"/>
      <c r="M103" s="22"/>
      <c r="N103" s="22"/>
      <c r="O103" s="22"/>
      <c r="P103" s="22"/>
    </row>
    <row r="104" spans="1:16" ht="12.75">
      <c r="A104" s="22"/>
      <c r="B104" s="22"/>
      <c r="C104" s="22"/>
      <c r="D104" s="22"/>
      <c r="E104" s="22"/>
      <c r="F104" s="22"/>
      <c r="G104" s="22"/>
      <c r="H104" s="22"/>
      <c r="I104" s="22"/>
      <c r="J104" s="22"/>
      <c r="K104" s="22"/>
      <c r="L104" s="22"/>
      <c r="M104" s="22"/>
      <c r="N104" s="22"/>
      <c r="O104" s="22"/>
      <c r="P104" s="22"/>
    </row>
    <row r="105" spans="1:16" ht="12.75">
      <c r="A105" s="22"/>
      <c r="B105" s="22"/>
      <c r="C105" s="22"/>
      <c r="D105" s="22"/>
      <c r="E105" s="22"/>
      <c r="F105" s="22"/>
      <c r="G105" s="22"/>
      <c r="H105" s="22"/>
      <c r="I105" s="22"/>
      <c r="J105" s="22"/>
      <c r="K105" s="22"/>
      <c r="L105" s="22"/>
      <c r="M105" s="22"/>
      <c r="N105" s="22"/>
      <c r="O105" s="22"/>
      <c r="P105" s="22"/>
    </row>
    <row r="106" spans="1:16" ht="12.75">
      <c r="A106" s="22"/>
      <c r="B106" s="22"/>
      <c r="C106" s="22"/>
      <c r="D106" s="22"/>
      <c r="E106" s="22"/>
      <c r="F106" s="22"/>
      <c r="G106" s="22"/>
      <c r="H106" s="22"/>
      <c r="I106" s="22"/>
      <c r="J106" s="22"/>
      <c r="K106" s="22"/>
      <c r="L106" s="22"/>
      <c r="M106" s="22"/>
      <c r="N106" s="22"/>
      <c r="O106" s="22"/>
      <c r="P106" s="22"/>
    </row>
    <row r="107" spans="1:16" ht="12.75">
      <c r="A107" s="22"/>
      <c r="B107" s="22"/>
      <c r="C107" s="22"/>
      <c r="D107" s="22"/>
      <c r="E107" s="22"/>
      <c r="F107" s="22"/>
      <c r="G107" s="22"/>
      <c r="H107" s="22"/>
      <c r="I107" s="22"/>
      <c r="J107" s="22"/>
      <c r="K107" s="22"/>
      <c r="L107" s="22"/>
      <c r="M107" s="22"/>
      <c r="N107" s="22"/>
      <c r="O107" s="22"/>
      <c r="P107" s="22"/>
    </row>
  </sheetData>
  <mergeCells count="12">
    <mergeCell ref="B3:E3"/>
    <mergeCell ref="B40:C40"/>
    <mergeCell ref="B60:C60"/>
    <mergeCell ref="B17:G17"/>
    <mergeCell ref="F41:K41"/>
    <mergeCell ref="J48:J49"/>
    <mergeCell ref="K48:K49"/>
    <mergeCell ref="C46:C47"/>
    <mergeCell ref="F48:F49"/>
    <mergeCell ref="G48:G49"/>
    <mergeCell ref="H48:H49"/>
    <mergeCell ref="I48:I49"/>
  </mergeCells>
  <printOptions/>
  <pageMargins left="0.984251968503937" right="0.3937007874015748" top="0.984251968503937" bottom="0.984251968503937" header="0.3937007874015748" footer="0"/>
  <pageSetup blackAndWhite="1" fitToHeight="1" fitToWidth="1" horizontalDpi="600" verticalDpi="600" orientation="portrait" paperSize="9" scale="81" r:id="rId3"/>
  <headerFooter alignWithMargins="0">
    <oddHeader>&amp;L&amp;"Arial,Fett"&amp;8NUTZUNG OHNE GEWÄHR&amp;C&amp;"Arial,Fett"&amp;8&amp;F&amp;R&amp;"Arial,Fett"&amp;8http://www.ArbeitslosengeldII.de</oddHeader>
  </headerFooter>
  <legacyDrawing r:id="rId2"/>
</worksheet>
</file>

<file path=xl/worksheets/sheet9.xml><?xml version="1.0" encoding="utf-8"?>
<worksheet xmlns="http://schemas.openxmlformats.org/spreadsheetml/2006/main" xmlns:r="http://schemas.openxmlformats.org/officeDocument/2006/relationships">
  <sheetPr codeName="Tabelle8"/>
  <dimension ref="A1:M28"/>
  <sheetViews>
    <sheetView showGridLines="0" showRowColHeaders="0" tabSelected="1" workbookViewId="0" topLeftCell="A1">
      <selection activeCell="C27" sqref="C27"/>
    </sheetView>
  </sheetViews>
  <sheetFormatPr defaultColWidth="11.421875" defaultRowHeight="12.75"/>
  <cols>
    <col min="1" max="1" width="4.00390625" style="0" customWidth="1"/>
    <col min="3" max="3" width="12.7109375" style="0" bestFit="1" customWidth="1"/>
    <col min="13" max="13" width="3.00390625" style="0" customWidth="1"/>
  </cols>
  <sheetData>
    <row r="1" spans="1:13" ht="12.75">
      <c r="A1" s="232"/>
      <c r="B1" s="232"/>
      <c r="C1" s="232"/>
      <c r="D1" s="232"/>
      <c r="E1" s="232"/>
      <c r="F1" s="232"/>
      <c r="G1" s="232"/>
      <c r="H1" s="232"/>
      <c r="I1" s="232"/>
      <c r="J1" s="232"/>
      <c r="K1" s="232"/>
      <c r="L1" s="232"/>
      <c r="M1" s="232"/>
    </row>
    <row r="2" spans="1:13" ht="12.75">
      <c r="A2" s="232"/>
      <c r="B2" s="232"/>
      <c r="C2" s="232"/>
      <c r="D2" s="232"/>
      <c r="E2" s="232"/>
      <c r="F2" s="232"/>
      <c r="G2" s="232"/>
      <c r="H2" s="232"/>
      <c r="I2" s="232"/>
      <c r="J2" s="232"/>
      <c r="K2" s="232"/>
      <c r="L2" s="232"/>
      <c r="M2" s="232"/>
    </row>
    <row r="3" spans="1:13" ht="15.75">
      <c r="A3" s="232"/>
      <c r="B3" s="493" t="s">
        <v>150</v>
      </c>
      <c r="C3" s="232"/>
      <c r="D3" s="232"/>
      <c r="E3" s="232"/>
      <c r="F3" s="232"/>
      <c r="G3" s="232"/>
      <c r="H3" s="232"/>
      <c r="I3" s="232"/>
      <c r="J3" s="232"/>
      <c r="K3" s="232"/>
      <c r="L3" s="232"/>
      <c r="M3" s="232"/>
    </row>
    <row r="4" spans="1:13" ht="15.75">
      <c r="A4" s="232"/>
      <c r="B4" s="494" t="s">
        <v>146</v>
      </c>
      <c r="C4" s="232"/>
      <c r="D4" s="232"/>
      <c r="E4" s="232"/>
      <c r="F4" s="232"/>
      <c r="G4" s="232"/>
      <c r="H4" s="232"/>
      <c r="I4" s="232"/>
      <c r="J4" s="232"/>
      <c r="K4" s="232"/>
      <c r="L4" s="232"/>
      <c r="M4" s="232"/>
    </row>
    <row r="5" spans="1:13" ht="15.75">
      <c r="A5" s="232"/>
      <c r="B5" s="494" t="s">
        <v>147</v>
      </c>
      <c r="C5" s="232"/>
      <c r="D5" s="232"/>
      <c r="E5" s="232"/>
      <c r="F5" s="232"/>
      <c r="G5" s="232"/>
      <c r="H5" s="232"/>
      <c r="I5" s="232"/>
      <c r="J5" s="232"/>
      <c r="K5" s="232"/>
      <c r="L5" s="232"/>
      <c r="M5" s="232"/>
    </row>
    <row r="6" spans="1:13" ht="15.75">
      <c r="A6" s="232"/>
      <c r="B6" s="494" t="s">
        <v>148</v>
      </c>
      <c r="C6" s="232"/>
      <c r="D6" s="232"/>
      <c r="E6" s="232"/>
      <c r="F6" s="232"/>
      <c r="G6" s="232"/>
      <c r="H6" s="232"/>
      <c r="I6" s="232"/>
      <c r="J6" s="232"/>
      <c r="K6" s="232"/>
      <c r="L6" s="232"/>
      <c r="M6" s="232"/>
    </row>
    <row r="7" spans="1:13" ht="15.75">
      <c r="A7" s="232"/>
      <c r="B7" s="494"/>
      <c r="C7" s="232"/>
      <c r="D7" s="232"/>
      <c r="E7" s="232"/>
      <c r="F7" s="232"/>
      <c r="G7" s="232"/>
      <c r="H7" s="232"/>
      <c r="I7" s="232"/>
      <c r="J7" s="232"/>
      <c r="K7" s="232"/>
      <c r="L7" s="232"/>
      <c r="M7" s="232"/>
    </row>
    <row r="8" spans="1:13" ht="15.75">
      <c r="A8" s="232"/>
      <c r="B8" s="494" t="s">
        <v>149</v>
      </c>
      <c r="C8" s="232"/>
      <c r="D8" s="232"/>
      <c r="E8" s="232"/>
      <c r="F8" s="232"/>
      <c r="G8" s="232"/>
      <c r="H8" s="232"/>
      <c r="I8" s="232"/>
      <c r="J8" s="232"/>
      <c r="K8" s="232"/>
      <c r="L8" s="232"/>
      <c r="M8" s="232"/>
    </row>
    <row r="9" spans="1:13" ht="15.75">
      <c r="A9" s="232"/>
      <c r="B9" s="494" t="s">
        <v>174</v>
      </c>
      <c r="C9" s="232"/>
      <c r="D9" s="232"/>
      <c r="E9" s="232"/>
      <c r="F9" s="232"/>
      <c r="G9" s="232"/>
      <c r="H9" s="232"/>
      <c r="I9" s="232"/>
      <c r="J9" s="232"/>
      <c r="K9" s="232"/>
      <c r="L9" s="232"/>
      <c r="M9" s="232"/>
    </row>
    <row r="10" spans="1:13" ht="15.75">
      <c r="A10" s="232"/>
      <c r="B10" s="494" t="s">
        <v>173</v>
      </c>
      <c r="C10" s="232"/>
      <c r="D10" s="232"/>
      <c r="E10" s="232"/>
      <c r="F10" s="232"/>
      <c r="G10" s="232"/>
      <c r="H10" s="232"/>
      <c r="I10" s="232"/>
      <c r="J10" s="232"/>
      <c r="K10" s="232"/>
      <c r="L10" s="232"/>
      <c r="M10" s="232"/>
    </row>
    <row r="11" spans="1:13" ht="15.75">
      <c r="A11" s="232"/>
      <c r="B11" s="494"/>
      <c r="C11" s="232"/>
      <c r="D11" s="232"/>
      <c r="E11" s="232"/>
      <c r="F11" s="232"/>
      <c r="G11" s="232"/>
      <c r="H11" s="232"/>
      <c r="I11" s="232"/>
      <c r="J11" s="232"/>
      <c r="K11" s="232"/>
      <c r="L11" s="232"/>
      <c r="M11" s="232"/>
    </row>
    <row r="12" spans="1:13" ht="15.75">
      <c r="A12" s="232"/>
      <c r="B12" s="232"/>
      <c r="C12" s="494" t="s">
        <v>371</v>
      </c>
      <c r="D12" s="494" t="s">
        <v>204</v>
      </c>
      <c r="E12" s="232"/>
      <c r="F12" s="232"/>
      <c r="G12" s="232"/>
      <c r="H12" s="232"/>
      <c r="I12" s="232"/>
      <c r="J12" s="232"/>
      <c r="K12" s="232"/>
      <c r="L12" s="232"/>
      <c r="M12" s="232"/>
    </row>
    <row r="13" spans="1:13" ht="12.75">
      <c r="A13" s="232"/>
      <c r="B13" s="232"/>
      <c r="C13" s="232"/>
      <c r="D13" s="232"/>
      <c r="E13" s="232"/>
      <c r="F13" s="232"/>
      <c r="G13" s="232"/>
      <c r="H13" s="232"/>
      <c r="I13" s="232"/>
      <c r="J13" s="232"/>
      <c r="K13" s="232"/>
      <c r="L13" s="232"/>
      <c r="M13" s="232"/>
    </row>
    <row r="14" spans="1:13" ht="15.75">
      <c r="A14" s="232"/>
      <c r="B14" s="494" t="s">
        <v>178</v>
      </c>
      <c r="C14" s="232"/>
      <c r="D14" s="232"/>
      <c r="E14" s="232"/>
      <c r="F14" s="232"/>
      <c r="G14" s="232"/>
      <c r="H14" s="232"/>
      <c r="I14" s="232"/>
      <c r="J14" s="232"/>
      <c r="K14" s="232"/>
      <c r="L14" s="232"/>
      <c r="M14" s="232"/>
    </row>
    <row r="15" spans="1:13" ht="15.75">
      <c r="A15" s="232"/>
      <c r="B15" s="594" t="s">
        <v>352</v>
      </c>
      <c r="C15" s="594"/>
      <c r="D15" s="594"/>
      <c r="E15" s="594"/>
      <c r="F15" s="232"/>
      <c r="G15" s="232"/>
      <c r="H15" s="232"/>
      <c r="I15" s="232"/>
      <c r="J15" s="232"/>
      <c r="K15" s="232"/>
      <c r="L15" s="232"/>
      <c r="M15" s="232"/>
    </row>
    <row r="16" spans="1:13" ht="15.75">
      <c r="A16" s="232"/>
      <c r="B16" s="494"/>
      <c r="C16" s="232"/>
      <c r="D16" s="232"/>
      <c r="E16" s="232"/>
      <c r="F16" s="232"/>
      <c r="G16" s="232"/>
      <c r="H16" s="232"/>
      <c r="I16" s="232"/>
      <c r="J16" s="232"/>
      <c r="K16" s="232"/>
      <c r="L16" s="232"/>
      <c r="M16" s="232"/>
    </row>
    <row r="17" spans="1:13" ht="15.75">
      <c r="A17" s="232"/>
      <c r="B17" s="494" t="s">
        <v>175</v>
      </c>
      <c r="C17" s="232"/>
      <c r="D17" s="232"/>
      <c r="E17" s="232"/>
      <c r="F17" s="232"/>
      <c r="G17" s="232"/>
      <c r="H17" s="232"/>
      <c r="I17" s="232"/>
      <c r="J17" s="232"/>
      <c r="K17" s="232"/>
      <c r="L17" s="232"/>
      <c r="M17" s="232"/>
    </row>
    <row r="18" spans="1:13" ht="15.75">
      <c r="A18" s="232"/>
      <c r="B18" s="494" t="s">
        <v>353</v>
      </c>
      <c r="C18" s="232"/>
      <c r="D18" s="232"/>
      <c r="E18" s="232"/>
      <c r="F18" s="232"/>
      <c r="G18" s="232"/>
      <c r="H18" s="232"/>
      <c r="I18" s="232"/>
      <c r="J18" s="232"/>
      <c r="K18" s="232"/>
      <c r="L18" s="232"/>
      <c r="M18" s="232"/>
    </row>
    <row r="19" spans="1:13" ht="15.75">
      <c r="A19" s="232"/>
      <c r="B19" s="494" t="s">
        <v>240</v>
      </c>
      <c r="C19" s="232"/>
      <c r="D19" s="232"/>
      <c r="E19" s="232"/>
      <c r="F19" s="232"/>
      <c r="G19" s="232"/>
      <c r="H19" s="232"/>
      <c r="I19" s="232"/>
      <c r="J19" s="232"/>
      <c r="K19" s="232"/>
      <c r="L19" s="232"/>
      <c r="M19" s="232"/>
    </row>
    <row r="20" spans="1:13" ht="15.75">
      <c r="A20" s="232"/>
      <c r="B20" s="494" t="s">
        <v>354</v>
      </c>
      <c r="C20" s="232"/>
      <c r="D20" s="232"/>
      <c r="E20" s="232"/>
      <c r="F20" s="232"/>
      <c r="G20" s="232"/>
      <c r="H20" s="232"/>
      <c r="I20" s="232"/>
      <c r="J20" s="232"/>
      <c r="K20" s="232"/>
      <c r="L20" s="232"/>
      <c r="M20" s="232"/>
    </row>
    <row r="21" spans="1:13" ht="12.75">
      <c r="A21" s="232"/>
      <c r="B21" s="232"/>
      <c r="C21" s="232"/>
      <c r="D21" s="232"/>
      <c r="E21" s="232"/>
      <c r="F21" s="232"/>
      <c r="G21" s="232"/>
      <c r="H21" s="232"/>
      <c r="I21" s="232"/>
      <c r="J21" s="232"/>
      <c r="K21" s="232"/>
      <c r="L21" s="232"/>
      <c r="M21" s="232"/>
    </row>
    <row r="22" spans="1:13" ht="12.75">
      <c r="A22" s="232"/>
      <c r="B22" s="495" t="s">
        <v>359</v>
      </c>
      <c r="C22" s="232"/>
      <c r="D22" s="232"/>
      <c r="E22" s="595" t="s">
        <v>355</v>
      </c>
      <c r="F22" s="595"/>
      <c r="G22" s="595"/>
      <c r="H22" s="232"/>
      <c r="I22" s="232"/>
      <c r="J22" s="232"/>
      <c r="K22" s="232"/>
      <c r="L22" s="232"/>
      <c r="M22" s="232"/>
    </row>
    <row r="23" spans="1:13" ht="12.75">
      <c r="A23" s="232"/>
      <c r="B23" s="495" t="s">
        <v>360</v>
      </c>
      <c r="C23" s="232"/>
      <c r="D23" s="232"/>
      <c r="E23" s="595" t="s">
        <v>356</v>
      </c>
      <c r="F23" s="595"/>
      <c r="G23" s="595"/>
      <c r="H23" s="232"/>
      <c r="I23" s="232"/>
      <c r="J23" s="232"/>
      <c r="K23" s="232"/>
      <c r="L23" s="232"/>
      <c r="M23" s="232"/>
    </row>
    <row r="24" spans="1:13" ht="12.75">
      <c r="A24" s="232"/>
      <c r="B24" s="495" t="s">
        <v>357</v>
      </c>
      <c r="C24" s="232"/>
      <c r="D24" s="232"/>
      <c r="E24" s="595" t="s">
        <v>358</v>
      </c>
      <c r="F24" s="595"/>
      <c r="G24" s="595"/>
      <c r="H24" s="232"/>
      <c r="I24" s="232"/>
      <c r="J24" s="232"/>
      <c r="K24" s="232"/>
      <c r="L24" s="232"/>
      <c r="M24" s="232"/>
    </row>
    <row r="25" spans="1:13" ht="12.75">
      <c r="A25" s="232"/>
      <c r="B25" s="232"/>
      <c r="C25" s="232"/>
      <c r="D25" s="232"/>
      <c r="E25" s="232"/>
      <c r="F25" s="232"/>
      <c r="G25" s="232"/>
      <c r="H25" s="232"/>
      <c r="I25" s="232"/>
      <c r="J25" s="232"/>
      <c r="K25" s="232"/>
      <c r="L25" s="232"/>
      <c r="M25" s="232"/>
    </row>
    <row r="26" spans="1:13" ht="15.75">
      <c r="A26" s="232"/>
      <c r="B26" s="505" t="s">
        <v>451</v>
      </c>
      <c r="C26" s="506">
        <v>38289</v>
      </c>
      <c r="D26" s="232"/>
      <c r="E26" s="232"/>
      <c r="F26" s="232"/>
      <c r="G26" s="232"/>
      <c r="H26" s="232"/>
      <c r="I26" s="232"/>
      <c r="J26" s="232"/>
      <c r="K26" s="232"/>
      <c r="L26" s="232"/>
      <c r="M26" s="232"/>
    </row>
    <row r="27" spans="1:13" ht="12.75">
      <c r="A27" s="232"/>
      <c r="B27" s="232"/>
      <c r="C27" s="232"/>
      <c r="D27" s="232"/>
      <c r="E27" s="232"/>
      <c r="F27" s="232"/>
      <c r="G27" s="232"/>
      <c r="H27" s="232"/>
      <c r="I27" s="232"/>
      <c r="J27" s="232"/>
      <c r="K27" s="232"/>
      <c r="L27" s="232"/>
      <c r="M27" s="232"/>
    </row>
    <row r="28" spans="1:13" ht="12.75">
      <c r="A28" s="232"/>
      <c r="B28" s="232"/>
      <c r="C28" s="232"/>
      <c r="D28" s="232"/>
      <c r="E28" s="232"/>
      <c r="F28" s="232"/>
      <c r="G28" s="232"/>
      <c r="H28" s="232"/>
      <c r="I28" s="232"/>
      <c r="J28" s="232"/>
      <c r="K28" s="232"/>
      <c r="L28" s="232"/>
      <c r="M28" s="232"/>
    </row>
    <row r="29" s="307" customFormat="1" ht="12.75"/>
    <row r="30" s="307" customFormat="1" ht="12.75"/>
    <row r="31" s="307" customFormat="1" ht="12.75"/>
    <row r="32" s="307" customFormat="1" ht="12.75"/>
    <row r="33" s="307" customFormat="1" ht="12.75"/>
    <row r="34" s="307" customFormat="1" ht="12.75"/>
    <row r="35" s="307" customFormat="1" ht="12.75"/>
    <row r="36" s="307" customFormat="1" ht="12.75"/>
    <row r="37" s="307" customFormat="1" ht="12.75"/>
    <row r="38" s="307" customFormat="1" ht="12.75"/>
    <row r="39" s="307" customFormat="1" ht="12.75"/>
    <row r="40" s="307" customFormat="1" ht="12.75"/>
    <row r="41" s="307" customFormat="1" ht="12.75"/>
    <row r="42" s="307" customFormat="1" ht="12.75"/>
    <row r="43" s="307" customFormat="1" ht="12.75"/>
    <row r="44" s="307" customFormat="1" ht="12.75"/>
    <row r="45" s="307" customFormat="1" ht="12.75"/>
    <row r="46" s="307" customFormat="1" ht="12.75"/>
  </sheetData>
  <sheetProtection password="C724" sheet="1" objects="1" scenarios="1"/>
  <mergeCells count="4">
    <mergeCell ref="B15:E15"/>
    <mergeCell ref="E23:G23"/>
    <mergeCell ref="E24:G24"/>
    <mergeCell ref="E22:G22"/>
  </mergeCells>
  <hyperlinks>
    <hyperlink ref="B15" r:id="rId1" display="mailto:Info@ArbeitslosengeldII.de"/>
    <hyperlink ref="E22:G22" r:id="rId2" display="http://www.unterhalt-berechnen.de/"/>
    <hyperlink ref="E23:G23" r:id="rId3" display="http://www.arbeitslosengeldii.de/"/>
    <hyperlink ref="E24" r:id="rId4" display="http://www.michael-brinkmann.de/"/>
  </hyperlinks>
  <printOptions/>
  <pageMargins left="0.75" right="0.75" top="1" bottom="1" header="0.4921259845" footer="0.4921259845"/>
  <pageSetup orientation="portrait" paperSize="9"/>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B.S.E. - BrinkmannSoftwareEntwicklung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Arbeitslosengeld II nach SGB II</dc:title>
  <dc:subject/>
  <dc:creator>Michael Brinkmann</dc:creator>
  <cp:keywords/>
  <dc:description/>
  <cp:lastModifiedBy>milo</cp:lastModifiedBy>
  <cp:lastPrinted>2004-10-29T09:30:21Z</cp:lastPrinted>
  <dcterms:created xsi:type="dcterms:W3CDTF">2004-02-04T07:30:27Z</dcterms:created>
  <dcterms:modified xsi:type="dcterms:W3CDTF">2004-10-29T16:34:33Z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Michael Brinkmann</vt:lpwstr>
  </property>
  <property fmtid="{D5CDD505-2E9C-101B-9397-08002B2CF9AE}" pid="3" name="Herausgeber">
    <vt:lpwstr>Michael Brinkmann</vt:lpwstr>
  </property>
  <property fmtid="{D5CDD505-2E9C-101B-9397-08002B2CF9AE}" pid="4" name="Weiterleiten an">
    <vt:lpwstr>nur Privatleute</vt:lpwstr>
  </property>
  <property fmtid="{D5CDD505-2E9C-101B-9397-08002B2CF9AE}" pid="5" name="Zweck">
    <vt:lpwstr>Aufklärung</vt:lpwstr>
  </property>
  <property fmtid="{D5CDD505-2E9C-101B-9397-08002B2CF9AE}" pid="6" name="Status">
    <vt:lpwstr>Demo</vt:lpwstr>
  </property>
  <property fmtid="{D5CDD505-2E9C-101B-9397-08002B2CF9AE}" pid="7" name="Sprache">
    <vt:lpwstr>deutsch</vt:lpwstr>
  </property>
  <property fmtid="{D5CDD505-2E9C-101B-9397-08002B2CF9AE}" pid="8" name="Erstellt von">
    <vt:lpwstr>Michael Brinkmann</vt:lpwstr>
  </property>
</Properties>
</file>